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WIN-IO2LFKCPL2A\All\Для клиентов\Бланк замовлення\Бланки с просчётом стоимости от 01.08.24\"/>
    </mc:Choice>
  </mc:AlternateContent>
  <xr:revisionPtr revIDLastSave="0" documentId="13_ncr:1_{B5B8F2D2-4C80-49AB-844D-7F799EB33F10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Бланк" sheetId="1" r:id="rId1"/>
    <sheet name="Просчет" sheetId="4" state="hidden" r:id="rId2"/>
    <sheet name="Лист1" sheetId="8" state="hidden" r:id="rId3"/>
    <sheet name="Рахунок" sheetId="5" r:id="rId4"/>
    <sheet name="Материал МДФ" sheetId="6" state="hidden" r:id="rId5"/>
    <sheet name="Заявка на краску" sheetId="7" state="hidden" r:id="rId6"/>
    <sheet name="Наименования" sheetId="2" state="hidden" r:id="rId7"/>
    <sheet name="Наименование" sheetId="9" state="hidden" r:id="rId8"/>
    <sheet name="Прайс" sheetId="3" state="hidden" r:id="rId9"/>
  </sheets>
  <externalReferences>
    <externalReference r:id="rId10"/>
  </externalReferences>
  <definedNames>
    <definedName name="_xlnm._FilterDatabase" localSheetId="0" hidden="1">Бланк!$M$86:$R$86</definedName>
    <definedName name="_xlnm._FilterDatabase" localSheetId="3" hidden="1">Рахунок!$L$20:$L$341</definedName>
    <definedName name="вісім">Наименования!$E$32</definedName>
    <definedName name="Девятнадцять">Наименования!$H$32:$H$47</definedName>
    <definedName name="десять">Наименования!$F$32</definedName>
    <definedName name="_xlnm.Print_Area" localSheetId="0">Бланк!$B$1:$AI$126</definedName>
    <definedName name="Объем">'Заявка на краску'!$F$35:$F$79</definedName>
    <definedName name="Ручка">Наименования!$H$5:$H$20</definedName>
    <definedName name="Товщина">Наименования!$C$31:$H$31</definedName>
    <definedName name="Цвет">'Заявка на краску'!$C$35:$C$79</definedName>
    <definedName name="чотири">Наименования!$C$32</definedName>
    <definedName name="шістнадцять">Наименования!$G$32</definedName>
    <definedName name="шість">Наименования!$D$32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5" l="1"/>
  <c r="J23" i="5"/>
  <c r="J24" i="5"/>
  <c r="J25" i="5"/>
  <c r="J26" i="5"/>
  <c r="J27" i="5"/>
  <c r="J28" i="5"/>
  <c r="J29" i="5"/>
  <c r="J30" i="5"/>
  <c r="J31" i="5"/>
  <c r="J32" i="5"/>
  <c r="J33" i="5"/>
  <c r="L33" i="5" s="1"/>
  <c r="J34" i="5"/>
  <c r="J35" i="5"/>
  <c r="J36" i="5"/>
  <c r="J37" i="5"/>
  <c r="J38" i="5"/>
  <c r="J39" i="5"/>
  <c r="J40" i="5"/>
  <c r="J41" i="5"/>
  <c r="J42" i="5"/>
  <c r="J43" i="5"/>
  <c r="J44" i="5"/>
  <c r="J45" i="5"/>
  <c r="L45" i="5" s="1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L69" i="5" s="1"/>
  <c r="J70" i="5"/>
  <c r="J71" i="5"/>
  <c r="J72" i="5"/>
  <c r="J73" i="5"/>
  <c r="J74" i="5"/>
  <c r="J75" i="5"/>
  <c r="J76" i="5"/>
  <c r="J77" i="5"/>
  <c r="J78" i="5"/>
  <c r="J79" i="5"/>
  <c r="J80" i="5"/>
  <c r="J81" i="5"/>
  <c r="L81" i="5" s="1"/>
  <c r="J82" i="5"/>
  <c r="J83" i="5"/>
  <c r="J84" i="5"/>
  <c r="J85" i="5"/>
  <c r="J86" i="5"/>
  <c r="J87" i="5"/>
  <c r="J88" i="5"/>
  <c r="J89" i="5"/>
  <c r="J90" i="5"/>
  <c r="J91" i="5"/>
  <c r="J92" i="5"/>
  <c r="J93" i="5"/>
  <c r="L93" i="5" s="1"/>
  <c r="J94" i="5"/>
  <c r="J95" i="5"/>
  <c r="J96" i="5"/>
  <c r="J97" i="5"/>
  <c r="J98" i="5"/>
  <c r="J99" i="5"/>
  <c r="J100" i="5"/>
  <c r="J101" i="5"/>
  <c r="J102" i="5"/>
  <c r="J103" i="5"/>
  <c r="J104" i="5"/>
  <c r="J105" i="5"/>
  <c r="L105" i="5" s="1"/>
  <c r="J106" i="5"/>
  <c r="J107" i="5"/>
  <c r="J108" i="5"/>
  <c r="J109" i="5"/>
  <c r="J110" i="5"/>
  <c r="J111" i="5"/>
  <c r="J112" i="5"/>
  <c r="J113" i="5"/>
  <c r="J114" i="5"/>
  <c r="J115" i="5"/>
  <c r="J116" i="5"/>
  <c r="J117" i="5"/>
  <c r="L117" i="5" s="1"/>
  <c r="J118" i="5"/>
  <c r="J119" i="5"/>
  <c r="J120" i="5"/>
  <c r="J121" i="5"/>
  <c r="J122" i="5"/>
  <c r="J123" i="5"/>
  <c r="J124" i="5"/>
  <c r="J125" i="5"/>
  <c r="J126" i="5"/>
  <c r="J127" i="5"/>
  <c r="J128" i="5"/>
  <c r="J129" i="5"/>
  <c r="L129" i="5" s="1"/>
  <c r="J130" i="5"/>
  <c r="J131" i="5"/>
  <c r="J132" i="5"/>
  <c r="J133" i="5"/>
  <c r="J134" i="5"/>
  <c r="J135" i="5"/>
  <c r="J136" i="5"/>
  <c r="J137" i="5"/>
  <c r="J138" i="5"/>
  <c r="L138" i="5" s="1"/>
  <c r="J139" i="5"/>
  <c r="J140" i="5"/>
  <c r="J141" i="5"/>
  <c r="L141" i="5" s="1"/>
  <c r="J142" i="5"/>
  <c r="J143" i="5"/>
  <c r="J144" i="5"/>
  <c r="J145" i="5"/>
  <c r="J146" i="5"/>
  <c r="J147" i="5"/>
  <c r="J148" i="5"/>
  <c r="J149" i="5"/>
  <c r="J150" i="5"/>
  <c r="J151" i="5"/>
  <c r="J152" i="5"/>
  <c r="J153" i="5"/>
  <c r="L153" i="5" s="1"/>
  <c r="J154" i="5"/>
  <c r="J155" i="5"/>
  <c r="J156" i="5"/>
  <c r="J157" i="5"/>
  <c r="J158" i="5"/>
  <c r="J159" i="5"/>
  <c r="J160" i="5"/>
  <c r="J161" i="5"/>
  <c r="J162" i="5"/>
  <c r="J163" i="5"/>
  <c r="J164" i="5"/>
  <c r="J165" i="5"/>
  <c r="L165" i="5" s="1"/>
  <c r="J166" i="5"/>
  <c r="J167" i="5"/>
  <c r="J168" i="5"/>
  <c r="J169" i="5"/>
  <c r="J170" i="5"/>
  <c r="J171" i="5"/>
  <c r="J172" i="5"/>
  <c r="J173" i="5"/>
  <c r="J174" i="5"/>
  <c r="J175" i="5"/>
  <c r="J176" i="5"/>
  <c r="J177" i="5"/>
  <c r="L177" i="5" s="1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L201" i="5" s="1"/>
  <c r="J202" i="5"/>
  <c r="J203" i="5"/>
  <c r="J204" i="5"/>
  <c r="J205" i="5"/>
  <c r="J206" i="5"/>
  <c r="J207" i="5"/>
  <c r="J208" i="5"/>
  <c r="J209" i="5"/>
  <c r="L209" i="5" s="1"/>
  <c r="J210" i="5"/>
  <c r="J211" i="5"/>
  <c r="J212" i="5"/>
  <c r="J213" i="5"/>
  <c r="L213" i="5" s="1"/>
  <c r="J214" i="5"/>
  <c r="J215" i="5"/>
  <c r="J216" i="5"/>
  <c r="J217" i="5"/>
  <c r="J218" i="5"/>
  <c r="J219" i="5"/>
  <c r="J220" i="5"/>
  <c r="J221" i="5"/>
  <c r="L221" i="5" s="1"/>
  <c r="J222" i="5"/>
  <c r="J223" i="5"/>
  <c r="J224" i="5"/>
  <c r="J225" i="5"/>
  <c r="L225" i="5" s="1"/>
  <c r="J226" i="5"/>
  <c r="J227" i="5"/>
  <c r="J228" i="5"/>
  <c r="J229" i="5"/>
  <c r="J230" i="5"/>
  <c r="J231" i="5"/>
  <c r="J232" i="5"/>
  <c r="J233" i="5"/>
  <c r="L233" i="5" s="1"/>
  <c r="J234" i="5"/>
  <c r="J235" i="5"/>
  <c r="J236" i="5"/>
  <c r="J237" i="5"/>
  <c r="L237" i="5" s="1"/>
  <c r="J238" i="5"/>
  <c r="J239" i="5"/>
  <c r="J240" i="5"/>
  <c r="J241" i="5"/>
  <c r="J242" i="5"/>
  <c r="J243" i="5"/>
  <c r="J244" i="5"/>
  <c r="J245" i="5"/>
  <c r="L245" i="5" s="1"/>
  <c r="J246" i="5"/>
  <c r="J247" i="5"/>
  <c r="J248" i="5"/>
  <c r="J249" i="5"/>
  <c r="L249" i="5" s="1"/>
  <c r="J250" i="5"/>
  <c r="J251" i="5"/>
  <c r="J252" i="5"/>
  <c r="J253" i="5"/>
  <c r="J254" i="5"/>
  <c r="J255" i="5"/>
  <c r="J256" i="5"/>
  <c r="J257" i="5"/>
  <c r="L257" i="5" s="1"/>
  <c r="J258" i="5"/>
  <c r="J259" i="5"/>
  <c r="J260" i="5"/>
  <c r="J261" i="5"/>
  <c r="L261" i="5" s="1"/>
  <c r="J262" i="5"/>
  <c r="J263" i="5"/>
  <c r="J264" i="5"/>
  <c r="J265" i="5"/>
  <c r="J266" i="5"/>
  <c r="J267" i="5"/>
  <c r="J268" i="5"/>
  <c r="J269" i="5"/>
  <c r="L269" i="5" s="1"/>
  <c r="J270" i="5"/>
  <c r="J271" i="5"/>
  <c r="J272" i="5"/>
  <c r="J273" i="5"/>
  <c r="L273" i="5" s="1"/>
  <c r="J274" i="5"/>
  <c r="J275" i="5"/>
  <c r="J276" i="5"/>
  <c r="J277" i="5"/>
  <c r="J278" i="5"/>
  <c r="J279" i="5"/>
  <c r="J280" i="5"/>
  <c r="J281" i="5"/>
  <c r="L281" i="5" s="1"/>
  <c r="J282" i="5"/>
  <c r="J283" i="5"/>
  <c r="J284" i="5"/>
  <c r="J285" i="5"/>
  <c r="L285" i="5" s="1"/>
  <c r="J286" i="5"/>
  <c r="J287" i="5"/>
  <c r="J288" i="5"/>
  <c r="J289" i="5"/>
  <c r="J290" i="5"/>
  <c r="J291" i="5"/>
  <c r="J292" i="5"/>
  <c r="J293" i="5"/>
  <c r="L293" i="5" s="1"/>
  <c r="J294" i="5"/>
  <c r="J295" i="5"/>
  <c r="J296" i="5"/>
  <c r="J297" i="5"/>
  <c r="L297" i="5" s="1"/>
  <c r="J298" i="5"/>
  <c r="J299" i="5"/>
  <c r="J300" i="5"/>
  <c r="J301" i="5"/>
  <c r="J302" i="5"/>
  <c r="J303" i="5"/>
  <c r="J304" i="5"/>
  <c r="J305" i="5"/>
  <c r="L305" i="5" s="1"/>
  <c r="J306" i="5"/>
  <c r="J307" i="5"/>
  <c r="J308" i="5"/>
  <c r="J309" i="5"/>
  <c r="L309" i="5" s="1"/>
  <c r="J310" i="5"/>
  <c r="J311" i="5"/>
  <c r="J312" i="5"/>
  <c r="J313" i="5"/>
  <c r="J314" i="5"/>
  <c r="J315" i="5"/>
  <c r="J316" i="5"/>
  <c r="J317" i="5"/>
  <c r="L317" i="5" s="1"/>
  <c r="J318" i="5"/>
  <c r="J319" i="5"/>
  <c r="J320" i="5"/>
  <c r="J321" i="5"/>
  <c r="L321" i="5" s="1"/>
  <c r="J322" i="5"/>
  <c r="J323" i="5"/>
  <c r="J324" i="5"/>
  <c r="J325" i="5"/>
  <c r="J326" i="5"/>
  <c r="J327" i="5"/>
  <c r="J328" i="5"/>
  <c r="J329" i="5"/>
  <c r="L329" i="5" s="1"/>
  <c r="J330" i="5"/>
  <c r="J331" i="5"/>
  <c r="J332" i="5"/>
  <c r="J333" i="5"/>
  <c r="L333" i="5" s="1"/>
  <c r="J334" i="5"/>
  <c r="J335" i="5"/>
  <c r="J336" i="5"/>
  <c r="J337" i="5"/>
  <c r="J338" i="5"/>
  <c r="J339" i="5"/>
  <c r="J340" i="5"/>
  <c r="J341" i="5"/>
  <c r="L341" i="5" s="1"/>
  <c r="J21" i="5"/>
  <c r="K266" i="4"/>
  <c r="K263" i="4"/>
  <c r="K260" i="4"/>
  <c r="L195" i="5" s="1"/>
  <c r="L196" i="5"/>
  <c r="L197" i="5"/>
  <c r="L199" i="5"/>
  <c r="L200" i="5"/>
  <c r="L202" i="5"/>
  <c r="L203" i="5"/>
  <c r="L204" i="5"/>
  <c r="L205" i="5"/>
  <c r="L206" i="5"/>
  <c r="L207" i="5"/>
  <c r="L208" i="5"/>
  <c r="L210" i="5"/>
  <c r="L211" i="5"/>
  <c r="L212" i="5"/>
  <c r="L214" i="5"/>
  <c r="L215" i="5"/>
  <c r="L216" i="5"/>
  <c r="L217" i="5"/>
  <c r="L218" i="5"/>
  <c r="L219" i="5"/>
  <c r="L220" i="5"/>
  <c r="L222" i="5"/>
  <c r="L223" i="5"/>
  <c r="L224" i="5"/>
  <c r="L226" i="5"/>
  <c r="L227" i="5"/>
  <c r="L228" i="5"/>
  <c r="L229" i="5"/>
  <c r="L230" i="5"/>
  <c r="L231" i="5"/>
  <c r="L232" i="5"/>
  <c r="L234" i="5"/>
  <c r="L235" i="5"/>
  <c r="L236" i="5"/>
  <c r="L238" i="5"/>
  <c r="L239" i="5"/>
  <c r="L240" i="5"/>
  <c r="L241" i="5"/>
  <c r="L242" i="5"/>
  <c r="L243" i="5"/>
  <c r="L244" i="5"/>
  <c r="L246" i="5"/>
  <c r="L247" i="5"/>
  <c r="L248" i="5"/>
  <c r="L250" i="5"/>
  <c r="L251" i="5"/>
  <c r="L252" i="5"/>
  <c r="L253" i="5"/>
  <c r="L254" i="5"/>
  <c r="L255" i="5"/>
  <c r="L256" i="5"/>
  <c r="L258" i="5"/>
  <c r="L259" i="5"/>
  <c r="L260" i="5"/>
  <c r="L262" i="5"/>
  <c r="L263" i="5"/>
  <c r="L264" i="5"/>
  <c r="L265" i="5"/>
  <c r="L266" i="5"/>
  <c r="L267" i="5"/>
  <c r="L268" i="5"/>
  <c r="L270" i="5"/>
  <c r="L271" i="5"/>
  <c r="L272" i="5"/>
  <c r="L274" i="5"/>
  <c r="L275" i="5"/>
  <c r="L276" i="5"/>
  <c r="L277" i="5"/>
  <c r="L278" i="5"/>
  <c r="L279" i="5"/>
  <c r="L280" i="5"/>
  <c r="L282" i="5"/>
  <c r="L283" i="5"/>
  <c r="L284" i="5"/>
  <c r="L286" i="5"/>
  <c r="L287" i="5"/>
  <c r="L288" i="5"/>
  <c r="L289" i="5"/>
  <c r="L290" i="5"/>
  <c r="L291" i="5"/>
  <c r="L292" i="5"/>
  <c r="L294" i="5"/>
  <c r="L295" i="5"/>
  <c r="L296" i="5"/>
  <c r="L298" i="5"/>
  <c r="L299" i="5"/>
  <c r="L300" i="5"/>
  <c r="L301" i="5"/>
  <c r="L302" i="5"/>
  <c r="L303" i="5"/>
  <c r="L304" i="5"/>
  <c r="L306" i="5"/>
  <c r="L307" i="5"/>
  <c r="L308" i="5"/>
  <c r="L310" i="5"/>
  <c r="L311" i="5"/>
  <c r="L312" i="5"/>
  <c r="L313" i="5"/>
  <c r="L314" i="5"/>
  <c r="L315" i="5"/>
  <c r="L316" i="5"/>
  <c r="L318" i="5"/>
  <c r="L319" i="5"/>
  <c r="L320" i="5"/>
  <c r="L322" i="5"/>
  <c r="L323" i="5"/>
  <c r="L324" i="5"/>
  <c r="L325" i="5"/>
  <c r="L326" i="5"/>
  <c r="L327" i="5"/>
  <c r="L328" i="5"/>
  <c r="L330" i="5"/>
  <c r="L331" i="5"/>
  <c r="L332" i="5"/>
  <c r="L334" i="5"/>
  <c r="L335" i="5"/>
  <c r="L336" i="5"/>
  <c r="L337" i="5"/>
  <c r="L338" i="5"/>
  <c r="L339" i="5"/>
  <c r="L340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L22" i="5"/>
  <c r="L23" i="5"/>
  <c r="L25" i="5"/>
  <c r="L26" i="5"/>
  <c r="L27" i="5"/>
  <c r="L29" i="5"/>
  <c r="L30" i="5"/>
  <c r="L31" i="5"/>
  <c r="L34" i="5"/>
  <c r="L35" i="5"/>
  <c r="L36" i="5"/>
  <c r="L37" i="5"/>
  <c r="L38" i="5"/>
  <c r="L39" i="5"/>
  <c r="L41" i="5"/>
  <c r="L42" i="5"/>
  <c r="L43" i="5"/>
  <c r="L44" i="5"/>
  <c r="L46" i="5"/>
  <c r="L47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5" i="5"/>
  <c r="L66" i="5"/>
  <c r="L67" i="5"/>
  <c r="L68" i="5"/>
  <c r="L70" i="5"/>
  <c r="L73" i="5"/>
  <c r="L74" i="5"/>
  <c r="L75" i="5"/>
  <c r="L77" i="5"/>
  <c r="L78" i="5"/>
  <c r="L82" i="5"/>
  <c r="L83" i="5"/>
  <c r="L84" i="5"/>
  <c r="L85" i="5"/>
  <c r="L86" i="5"/>
  <c r="L87" i="5"/>
  <c r="L88" i="5"/>
  <c r="L89" i="5"/>
  <c r="L90" i="5"/>
  <c r="L91" i="5"/>
  <c r="L92" i="5"/>
  <c r="L94" i="5"/>
  <c r="L95" i="5"/>
  <c r="L96" i="5"/>
  <c r="L97" i="5"/>
  <c r="L98" i="5"/>
  <c r="L99" i="5"/>
  <c r="L100" i="5"/>
  <c r="L101" i="5"/>
  <c r="L102" i="5"/>
  <c r="L103" i="5"/>
  <c r="L104" i="5"/>
  <c r="L106" i="5"/>
  <c r="L107" i="5"/>
  <c r="L108" i="5"/>
  <c r="L109" i="5"/>
  <c r="L110" i="5"/>
  <c r="L111" i="5"/>
  <c r="L112" i="5"/>
  <c r="L113" i="5"/>
  <c r="L114" i="5"/>
  <c r="L115" i="5"/>
  <c r="L116" i="5"/>
  <c r="L118" i="5"/>
  <c r="L119" i="5"/>
  <c r="L120" i="5"/>
  <c r="L121" i="5"/>
  <c r="L122" i="5"/>
  <c r="L123" i="5"/>
  <c r="L124" i="5"/>
  <c r="L125" i="5"/>
  <c r="L126" i="5"/>
  <c r="L127" i="5"/>
  <c r="L128" i="5"/>
  <c r="L130" i="5"/>
  <c r="L131" i="5"/>
  <c r="L132" i="5"/>
  <c r="L133" i="5"/>
  <c r="L134" i="5"/>
  <c r="L137" i="5"/>
  <c r="L139" i="5"/>
  <c r="L140" i="5"/>
  <c r="L142" i="5"/>
  <c r="L145" i="5"/>
  <c r="L146" i="5"/>
  <c r="L147" i="5"/>
  <c r="L149" i="5"/>
  <c r="L150" i="5"/>
  <c r="L154" i="5"/>
  <c r="L155" i="5"/>
  <c r="L156" i="5"/>
  <c r="L157" i="5"/>
  <c r="L158" i="5"/>
  <c r="L161" i="5"/>
  <c r="L162" i="5"/>
  <c r="L163" i="5"/>
  <c r="L164" i="5"/>
  <c r="L166" i="5"/>
  <c r="L169" i="5"/>
  <c r="L170" i="5"/>
  <c r="L171" i="5"/>
  <c r="L173" i="5"/>
  <c r="L174" i="5"/>
  <c r="L178" i="5"/>
  <c r="L179" i="5"/>
  <c r="L180" i="5"/>
  <c r="L181" i="5"/>
  <c r="L182" i="5"/>
  <c r="L185" i="5"/>
  <c r="L186" i="5"/>
  <c r="L187" i="5"/>
  <c r="L188" i="5"/>
  <c r="L189" i="5"/>
  <c r="L190" i="5"/>
  <c r="L193" i="5"/>
  <c r="L194" i="5"/>
  <c r="L198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N254" i="4"/>
  <c r="N255" i="4"/>
  <c r="N246" i="4"/>
  <c r="N247" i="4"/>
  <c r="N238" i="4"/>
  <c r="N239" i="4"/>
  <c r="N230" i="4"/>
  <c r="N231" i="4"/>
  <c r="N222" i="4"/>
  <c r="N223" i="4"/>
  <c r="N214" i="4"/>
  <c r="N215" i="4"/>
  <c r="N206" i="4"/>
  <c r="N207" i="4"/>
  <c r="N198" i="4"/>
  <c r="N199" i="4"/>
  <c r="M255" i="4"/>
  <c r="M254" i="4"/>
  <c r="M247" i="4"/>
  <c r="M246" i="4"/>
  <c r="M239" i="4"/>
  <c r="M238" i="4"/>
  <c r="M231" i="4"/>
  <c r="M230" i="4"/>
  <c r="M223" i="4"/>
  <c r="M222" i="4"/>
  <c r="M215" i="4"/>
  <c r="M214" i="4"/>
  <c r="M207" i="4"/>
  <c r="M206" i="4"/>
  <c r="M199" i="4"/>
  <c r="M198" i="4"/>
  <c r="K255" i="4"/>
  <c r="K254" i="4"/>
  <c r="K247" i="4"/>
  <c r="K246" i="4"/>
  <c r="K239" i="4"/>
  <c r="K238" i="4"/>
  <c r="K231" i="4"/>
  <c r="K230" i="4"/>
  <c r="K223" i="4"/>
  <c r="K222" i="4"/>
  <c r="K215" i="4"/>
  <c r="K214" i="4"/>
  <c r="K207" i="4"/>
  <c r="K206" i="4"/>
  <c r="K199" i="4"/>
  <c r="K198" i="4"/>
  <c r="M191" i="4"/>
  <c r="M190" i="4"/>
  <c r="M183" i="4"/>
  <c r="M182" i="4"/>
  <c r="M175" i="4"/>
  <c r="M174" i="4"/>
  <c r="M167" i="4"/>
  <c r="M166" i="4"/>
  <c r="M159" i="4"/>
  <c r="M158" i="4"/>
  <c r="M151" i="4"/>
  <c r="M150" i="4"/>
  <c r="M143" i="4"/>
  <c r="M142" i="4"/>
  <c r="M135" i="4"/>
  <c r="M134" i="4"/>
  <c r="M127" i="4"/>
  <c r="M126" i="4"/>
  <c r="M120" i="4"/>
  <c r="M116" i="4"/>
  <c r="M112" i="4"/>
  <c r="M108" i="4"/>
  <c r="M104" i="4"/>
  <c r="M100" i="4"/>
  <c r="M96" i="4"/>
  <c r="M92" i="4"/>
  <c r="M88" i="4"/>
  <c r="AF10" i="1"/>
  <c r="G10" i="5"/>
  <c r="E15" i="5"/>
  <c r="M200" i="4"/>
  <c r="M201" i="4"/>
  <c r="M208" i="4"/>
  <c r="M209" i="4"/>
  <c r="K338" i="5"/>
  <c r="I338" i="5"/>
  <c r="M398" i="4"/>
  <c r="L172" i="5" l="1"/>
  <c r="L76" i="5"/>
  <c r="L148" i="5"/>
  <c r="L40" i="5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" i="4"/>
  <c r="C338" i="5"/>
  <c r="M380" i="4"/>
  <c r="M379" i="4"/>
  <c r="M378" i="4"/>
  <c r="M377" i="4"/>
  <c r="M376" i="4"/>
  <c r="M375" i="4"/>
  <c r="M374" i="4"/>
  <c r="M373" i="4"/>
  <c r="M372" i="4"/>
  <c r="M371" i="4"/>
  <c r="M370" i="4"/>
  <c r="M369" i="4"/>
  <c r="M368" i="4"/>
  <c r="M367" i="4"/>
  <c r="M366" i="4"/>
  <c r="M365" i="4"/>
  <c r="M364" i="4"/>
  <c r="M363" i="4"/>
  <c r="M362" i="4"/>
  <c r="M361" i="4"/>
  <c r="M360" i="4"/>
  <c r="M359" i="4"/>
  <c r="M358" i="4"/>
  <c r="M357" i="4"/>
  <c r="M356" i="4"/>
  <c r="M355" i="4"/>
  <c r="M354" i="4"/>
  <c r="M353" i="4"/>
  <c r="M352" i="4"/>
  <c r="M351" i="4"/>
  <c r="M350" i="4"/>
  <c r="M349" i="4"/>
  <c r="M348" i="4"/>
  <c r="M347" i="4"/>
  <c r="M346" i="4"/>
  <c r="M345" i="4"/>
  <c r="M344" i="4"/>
  <c r="M343" i="4"/>
  <c r="M342" i="4"/>
  <c r="M341" i="4"/>
  <c r="M340" i="4"/>
  <c r="M339" i="4"/>
  <c r="M333" i="4" l="1"/>
  <c r="M335" i="4"/>
  <c r="M336" i="4"/>
  <c r="M334" i="4"/>
  <c r="M330" i="4"/>
  <c r="M329" i="4"/>
  <c r="M328" i="4"/>
  <c r="M327" i="4"/>
  <c r="M324" i="4"/>
  <c r="M323" i="4"/>
  <c r="M322" i="4"/>
  <c r="M321" i="4"/>
  <c r="M318" i="4"/>
  <c r="M317" i="4"/>
  <c r="M316" i="4"/>
  <c r="M315" i="4"/>
  <c r="M312" i="4"/>
  <c r="M311" i="4"/>
  <c r="M310" i="4"/>
  <c r="M309" i="4"/>
  <c r="M291" i="4"/>
  <c r="M290" i="4"/>
  <c r="M289" i="4"/>
  <c r="M288" i="4"/>
  <c r="M287" i="4"/>
  <c r="M286" i="4"/>
  <c r="M285" i="4"/>
  <c r="M283" i="4"/>
  <c r="M282" i="4"/>
  <c r="M280" i="4"/>
  <c r="M279" i="4"/>
  <c r="M277" i="4"/>
  <c r="M276" i="4"/>
  <c r="M274" i="4"/>
  <c r="M273" i="4"/>
  <c r="M271" i="4"/>
  <c r="M270" i="4"/>
  <c r="M268" i="4"/>
  <c r="M267" i="4"/>
  <c r="M266" i="4"/>
  <c r="M265" i="4"/>
  <c r="M264" i="4"/>
  <c r="M263" i="4"/>
  <c r="M262" i="4"/>
  <c r="M261" i="4"/>
  <c r="M258" i="4"/>
  <c r="M225" i="4"/>
  <c r="M224" i="4"/>
  <c r="M221" i="4"/>
  <c r="M220" i="4"/>
  <c r="M219" i="4"/>
  <c r="M218" i="4"/>
  <c r="M217" i="4"/>
  <c r="M216" i="4"/>
  <c r="M213" i="4"/>
  <c r="M212" i="4"/>
  <c r="M211" i="4"/>
  <c r="M210" i="4"/>
  <c r="M205" i="4"/>
  <c r="M204" i="4"/>
  <c r="M203" i="4"/>
  <c r="M202" i="4"/>
  <c r="M197" i="4"/>
  <c r="M196" i="4"/>
  <c r="M195" i="4"/>
  <c r="M194" i="4"/>
  <c r="M189" i="4"/>
  <c r="M188" i="4"/>
  <c r="M187" i="4"/>
  <c r="M186" i="4"/>
  <c r="M181" i="4"/>
  <c r="M180" i="4"/>
  <c r="M179" i="4"/>
  <c r="M178" i="4"/>
  <c r="M173" i="4"/>
  <c r="M172" i="4"/>
  <c r="M171" i="4"/>
  <c r="M170" i="4"/>
  <c r="M165" i="4"/>
  <c r="M164" i="4"/>
  <c r="M163" i="4"/>
  <c r="M162" i="4"/>
  <c r="M157" i="4"/>
  <c r="M156" i="4"/>
  <c r="M155" i="4"/>
  <c r="M154" i="4"/>
  <c r="M148" i="4"/>
  <c r="M147" i="4"/>
  <c r="M146" i="4"/>
  <c r="M139" i="4"/>
  <c r="M138" i="4"/>
  <c r="M137" i="4"/>
  <c r="M136" i="4"/>
  <c r="M133" i="4"/>
  <c r="M132" i="4"/>
  <c r="M131" i="4"/>
  <c r="M130" i="4"/>
  <c r="M129" i="4"/>
  <c r="M128" i="4"/>
  <c r="M125" i="4"/>
  <c r="M124" i="4"/>
  <c r="M122" i="4"/>
  <c r="M119" i="4"/>
  <c r="M118" i="4"/>
  <c r="M115" i="4"/>
  <c r="M114" i="4"/>
  <c r="M113" i="4"/>
  <c r="M111" i="4"/>
  <c r="M110" i="4"/>
  <c r="M107" i="4"/>
  <c r="M106" i="4"/>
  <c r="M103" i="4"/>
  <c r="M102" i="4"/>
  <c r="M99" i="4"/>
  <c r="M98" i="4"/>
  <c r="M97" i="4"/>
  <c r="M95" i="4"/>
  <c r="M94" i="4"/>
  <c r="M93" i="4"/>
  <c r="M91" i="4"/>
  <c r="M90" i="4"/>
  <c r="M89" i="4"/>
  <c r="M87" i="4"/>
  <c r="M86" i="4"/>
  <c r="Z2" i="4"/>
  <c r="D83" i="1" l="1"/>
  <c r="D84" i="1" s="1"/>
  <c r="M140" i="4" l="1"/>
  <c r="K340" i="5"/>
  <c r="K341" i="5"/>
  <c r="I340" i="5" l="1"/>
  <c r="I341" i="5"/>
  <c r="I21" i="5"/>
  <c r="C340" i="5"/>
  <c r="C341" i="5"/>
  <c r="C21" i="5"/>
  <c r="B310" i="5" l="1"/>
  <c r="B322" i="5"/>
  <c r="B334" i="5"/>
  <c r="B311" i="5"/>
  <c r="B306" i="5"/>
  <c r="B303" i="5"/>
  <c r="B323" i="5"/>
  <c r="B327" i="5"/>
  <c r="B333" i="5"/>
  <c r="B341" i="5"/>
  <c r="B338" i="5"/>
  <c r="B316" i="5"/>
  <c r="B312" i="5"/>
  <c r="B321" i="5"/>
  <c r="B329" i="5"/>
  <c r="B326" i="5"/>
  <c r="B313" i="5"/>
  <c r="B335" i="5"/>
  <c r="B309" i="5"/>
  <c r="B317" i="5"/>
  <c r="B314" i="5"/>
  <c r="B339" i="5"/>
  <c r="B318" i="5"/>
  <c r="B332" i="5"/>
  <c r="B305" i="5"/>
  <c r="B302" i="5"/>
  <c r="B324" i="5"/>
  <c r="B315" i="5"/>
  <c r="B320" i="5"/>
  <c r="B340" i="5"/>
  <c r="B337" i="5"/>
  <c r="B336" i="5"/>
  <c r="B308" i="5"/>
  <c r="B328" i="5"/>
  <c r="B325" i="5"/>
  <c r="B304" i="5"/>
  <c r="B331" i="5"/>
  <c r="B319" i="5"/>
  <c r="B307" i="5"/>
  <c r="B330" i="5"/>
  <c r="B281" i="5"/>
  <c r="B267" i="5"/>
  <c r="B265" i="5"/>
  <c r="B297" i="5"/>
  <c r="B275" i="5"/>
  <c r="B277" i="5"/>
  <c r="B269" i="5"/>
  <c r="B255" i="5"/>
  <c r="B253" i="5"/>
  <c r="B285" i="5"/>
  <c r="B291" i="5"/>
  <c r="B257" i="5"/>
  <c r="B258" i="5"/>
  <c r="B300" i="5"/>
  <c r="B273" i="5"/>
  <c r="B289" i="5"/>
  <c r="B271" i="5"/>
  <c r="B288" i="5"/>
  <c r="B261" i="5"/>
  <c r="B260" i="5"/>
  <c r="B298" i="5"/>
  <c r="B283" i="5"/>
  <c r="B279" i="5"/>
  <c r="B292" i="5"/>
  <c r="B290" i="5"/>
  <c r="B276" i="5"/>
  <c r="B274" i="5"/>
  <c r="B270" i="5"/>
  <c r="B280" i="5"/>
  <c r="B278" i="5"/>
  <c r="B264" i="5"/>
  <c r="B296" i="5"/>
  <c r="B294" i="5"/>
  <c r="B293" i="5"/>
  <c r="B268" i="5"/>
  <c r="B266" i="5"/>
  <c r="B282" i="5"/>
  <c r="B284" i="5"/>
  <c r="B287" i="5"/>
  <c r="B301" i="5"/>
  <c r="B259" i="5"/>
  <c r="B256" i="5"/>
  <c r="B254" i="5"/>
  <c r="B299" i="5"/>
  <c r="B272" i="5"/>
  <c r="B262" i="5"/>
  <c r="B295" i="5"/>
  <c r="B263" i="5"/>
  <c r="B286" i="5"/>
  <c r="B217" i="5"/>
  <c r="B218" i="5"/>
  <c r="B216" i="5"/>
  <c r="B204" i="5"/>
  <c r="B215" i="5"/>
  <c r="B203" i="5"/>
  <c r="B214" i="5"/>
  <c r="B201" i="5"/>
  <c r="B202" i="5"/>
  <c r="B247" i="5"/>
  <c r="B235" i="5"/>
  <c r="B220" i="5"/>
  <c r="B223" i="5"/>
  <c r="B219" i="5"/>
  <c r="B246" i="5"/>
  <c r="B239" i="5"/>
  <c r="B242" i="5"/>
  <c r="B233" i="5"/>
  <c r="B229" i="5"/>
  <c r="B211" i="5"/>
  <c r="B224" i="5"/>
  <c r="B251" i="5"/>
  <c r="B245" i="5"/>
  <c r="B234" i="5"/>
  <c r="B236" i="5"/>
  <c r="B206" i="5"/>
  <c r="B209" i="5"/>
  <c r="B212" i="5"/>
  <c r="B244" i="5"/>
  <c r="B248" i="5"/>
  <c r="B228" i="5"/>
  <c r="B231" i="5"/>
  <c r="B222" i="5"/>
  <c r="B226" i="5"/>
  <c r="B250" i="5"/>
  <c r="B225" i="5"/>
  <c r="B240" i="5"/>
  <c r="B243" i="5"/>
  <c r="B241" i="5"/>
  <c r="B230" i="5"/>
  <c r="B237" i="5"/>
  <c r="B252" i="5"/>
  <c r="B232" i="5"/>
  <c r="B213" i="5"/>
  <c r="B227" i="5"/>
  <c r="B249" i="5"/>
  <c r="B207" i="5"/>
  <c r="B210" i="5"/>
  <c r="B238" i="5"/>
  <c r="B221" i="5"/>
  <c r="B208" i="5"/>
  <c r="B205" i="5"/>
  <c r="B199" i="5"/>
  <c r="B198" i="5"/>
  <c r="B200" i="5"/>
  <c r="M123" i="4" l="1"/>
  <c r="M399" i="4" l="1"/>
  <c r="M397" i="4"/>
  <c r="M396" i="4"/>
  <c r="M395" i="4"/>
  <c r="M394" i="4"/>
  <c r="M393" i="4"/>
  <c r="M392" i="4"/>
  <c r="M391" i="4"/>
  <c r="M390" i="4"/>
  <c r="M389" i="4"/>
  <c r="M388" i="4"/>
  <c r="M387" i="4"/>
  <c r="M386" i="4"/>
  <c r="M385" i="4"/>
  <c r="M384" i="4"/>
  <c r="M383" i="4"/>
  <c r="M382" i="4"/>
  <c r="M381" i="4"/>
  <c r="M306" i="4"/>
  <c r="M305" i="4"/>
  <c r="M304" i="4"/>
  <c r="M303" i="4"/>
  <c r="M302" i="4"/>
  <c r="M301" i="4"/>
  <c r="M300" i="4"/>
  <c r="M299" i="4"/>
  <c r="M298" i="4"/>
  <c r="M297" i="4"/>
  <c r="M296" i="4"/>
  <c r="M295" i="4"/>
  <c r="M294" i="4"/>
  <c r="M293" i="4"/>
  <c r="M292" i="4"/>
  <c r="M260" i="4"/>
  <c r="M259" i="4"/>
  <c r="M257" i="4"/>
  <c r="M256" i="4"/>
  <c r="M253" i="4"/>
  <c r="M252" i="4"/>
  <c r="M251" i="4"/>
  <c r="M250" i="4"/>
  <c r="M249" i="4"/>
  <c r="M248" i="4"/>
  <c r="M245" i="4"/>
  <c r="M244" i="4"/>
  <c r="M243" i="4"/>
  <c r="M242" i="4"/>
  <c r="M241" i="4"/>
  <c r="M240" i="4"/>
  <c r="M237" i="4"/>
  <c r="M236" i="4"/>
  <c r="M235" i="4"/>
  <c r="M234" i="4"/>
  <c r="M233" i="4"/>
  <c r="M232" i="4"/>
  <c r="M229" i="4"/>
  <c r="M228" i="4"/>
  <c r="M227" i="4"/>
  <c r="M226" i="4"/>
  <c r="M149" i="4"/>
  <c r="M145" i="4"/>
  <c r="M144" i="4"/>
  <c r="M141" i="4"/>
  <c r="K21" i="5"/>
  <c r="Y61" i="3" l="1"/>
  <c r="C57" i="4" l="1"/>
  <c r="D57" i="4"/>
  <c r="E57" i="4"/>
  <c r="F57" i="4"/>
  <c r="G57" i="4"/>
  <c r="O57" i="4" s="1"/>
  <c r="I57" i="4"/>
  <c r="C58" i="4"/>
  <c r="D58" i="4"/>
  <c r="E58" i="4"/>
  <c r="F58" i="4"/>
  <c r="G58" i="4"/>
  <c r="O58" i="4" s="1"/>
  <c r="I58" i="4"/>
  <c r="C59" i="4"/>
  <c r="D59" i="4"/>
  <c r="E59" i="4"/>
  <c r="F59" i="4"/>
  <c r="G59" i="4"/>
  <c r="O59" i="4" s="1"/>
  <c r="I59" i="4"/>
  <c r="C60" i="4"/>
  <c r="D60" i="4"/>
  <c r="E60" i="4"/>
  <c r="F60" i="4"/>
  <c r="G60" i="4"/>
  <c r="O60" i="4" s="1"/>
  <c r="I60" i="4"/>
  <c r="J57" i="4"/>
  <c r="K57" i="4" s="1"/>
  <c r="J58" i="4"/>
  <c r="J59" i="4"/>
  <c r="K59" i="4" s="1"/>
  <c r="J60" i="4"/>
  <c r="K60" i="4" s="1"/>
  <c r="L57" i="4"/>
  <c r="M57" i="4"/>
  <c r="L58" i="4"/>
  <c r="M58" i="4"/>
  <c r="L59" i="4"/>
  <c r="M59" i="4"/>
  <c r="L60" i="4"/>
  <c r="M60" i="4"/>
  <c r="P57" i="4"/>
  <c r="Q57" i="4"/>
  <c r="P58" i="4"/>
  <c r="R58" i="4" s="1"/>
  <c r="Q58" i="4"/>
  <c r="P59" i="4"/>
  <c r="R59" i="4" s="1"/>
  <c r="Q59" i="4"/>
  <c r="P60" i="4"/>
  <c r="R60" i="4" s="1"/>
  <c r="Q60" i="4"/>
  <c r="S57" i="4"/>
  <c r="T57" i="4"/>
  <c r="U57" i="4"/>
  <c r="V57" i="4"/>
  <c r="W57" i="4"/>
  <c r="X57" i="4"/>
  <c r="Y57" i="4"/>
  <c r="S58" i="4"/>
  <c r="T58" i="4"/>
  <c r="U58" i="4"/>
  <c r="V58" i="4"/>
  <c r="W58" i="4"/>
  <c r="X58" i="4"/>
  <c r="Y58" i="4"/>
  <c r="S59" i="4"/>
  <c r="T59" i="4"/>
  <c r="U59" i="4"/>
  <c r="V59" i="4"/>
  <c r="W59" i="4"/>
  <c r="X59" i="4"/>
  <c r="Y59" i="4"/>
  <c r="S60" i="4"/>
  <c r="T60" i="4"/>
  <c r="U60" i="4"/>
  <c r="V60" i="4"/>
  <c r="W60" i="4"/>
  <c r="X60" i="4"/>
  <c r="Y60" i="4"/>
  <c r="AC57" i="4"/>
  <c r="AD57" i="4" s="1"/>
  <c r="AC58" i="4"/>
  <c r="AD58" i="4" s="1"/>
  <c r="AC59" i="4"/>
  <c r="AD59" i="4" s="1"/>
  <c r="AC60" i="4"/>
  <c r="AD60" i="4" s="1"/>
  <c r="AE57" i="4"/>
  <c r="AF57" i="4"/>
  <c r="AG57" i="4"/>
  <c r="AH57" i="4"/>
  <c r="AE58" i="4"/>
  <c r="AF58" i="4"/>
  <c r="AG58" i="4"/>
  <c r="AH58" i="4"/>
  <c r="AE59" i="4"/>
  <c r="AF59" i="4"/>
  <c r="AG59" i="4"/>
  <c r="AH59" i="4"/>
  <c r="AE60" i="4"/>
  <c r="AF60" i="4"/>
  <c r="AG60" i="4"/>
  <c r="AH60" i="4"/>
  <c r="AF56" i="4"/>
  <c r="AG56" i="4"/>
  <c r="AH56" i="4"/>
  <c r="AE56" i="4"/>
  <c r="AC56" i="4"/>
  <c r="AD56" i="4" s="1"/>
  <c r="Y56" i="4"/>
  <c r="X56" i="4"/>
  <c r="W56" i="4"/>
  <c r="V56" i="4"/>
  <c r="U56" i="4"/>
  <c r="T56" i="4"/>
  <c r="S56" i="4"/>
  <c r="Q56" i="4"/>
  <c r="P56" i="4"/>
  <c r="R56" i="4" s="1"/>
  <c r="M56" i="4"/>
  <c r="L56" i="4"/>
  <c r="J56" i="4"/>
  <c r="I56" i="4"/>
  <c r="G56" i="4"/>
  <c r="O56" i="4" s="1"/>
  <c r="F56" i="4"/>
  <c r="E56" i="4"/>
  <c r="D56" i="4"/>
  <c r="C56" i="4"/>
  <c r="K398" i="4" l="1"/>
  <c r="K324" i="4"/>
  <c r="K274" i="4"/>
  <c r="K328" i="4"/>
  <c r="K323" i="4"/>
  <c r="K306" i="4"/>
  <c r="K273" i="4"/>
  <c r="K322" i="4"/>
  <c r="K305" i="4"/>
  <c r="K271" i="4"/>
  <c r="K321" i="4"/>
  <c r="K304" i="4"/>
  <c r="K270" i="4"/>
  <c r="K327" i="4"/>
  <c r="K336" i="4"/>
  <c r="K318" i="4"/>
  <c r="K303" i="4"/>
  <c r="K335" i="4"/>
  <c r="K317" i="4"/>
  <c r="K285" i="4"/>
  <c r="K268" i="4"/>
  <c r="K334" i="4"/>
  <c r="K316" i="4"/>
  <c r="K283" i="4"/>
  <c r="K267" i="4"/>
  <c r="K310" i="4"/>
  <c r="K333" i="4"/>
  <c r="K315" i="4"/>
  <c r="K282" i="4"/>
  <c r="K277" i="4"/>
  <c r="K276" i="4"/>
  <c r="K330" i="4"/>
  <c r="K312" i="4"/>
  <c r="K280" i="4"/>
  <c r="K309" i="4"/>
  <c r="K329" i="4"/>
  <c r="K311" i="4"/>
  <c r="K279" i="4"/>
  <c r="K393" i="4"/>
  <c r="K265" i="4"/>
  <c r="K261" i="4"/>
  <c r="K259" i="4"/>
  <c r="K264" i="4"/>
  <c r="K262" i="4"/>
  <c r="K258" i="4"/>
  <c r="K385" i="4"/>
  <c r="K383" i="4"/>
  <c r="K381" i="4"/>
  <c r="K379" i="4"/>
  <c r="K377" i="4"/>
  <c r="K375" i="4"/>
  <c r="K373" i="4"/>
  <c r="K371" i="4"/>
  <c r="K369" i="4"/>
  <c r="K367" i="4"/>
  <c r="K365" i="4"/>
  <c r="K363" i="4"/>
  <c r="K361" i="4"/>
  <c r="K359" i="4"/>
  <c r="K357" i="4"/>
  <c r="K355" i="4"/>
  <c r="K353" i="4"/>
  <c r="K351" i="4"/>
  <c r="K349" i="4"/>
  <c r="K347" i="4"/>
  <c r="K345" i="4"/>
  <c r="K343" i="4"/>
  <c r="K341" i="4"/>
  <c r="K340" i="4"/>
  <c r="K302" i="4"/>
  <c r="K300" i="4"/>
  <c r="K298" i="4"/>
  <c r="K291" i="4"/>
  <c r="K289" i="4"/>
  <c r="K287" i="4"/>
  <c r="K386" i="4"/>
  <c r="K384" i="4"/>
  <c r="K382" i="4"/>
  <c r="K380" i="4"/>
  <c r="K378" i="4"/>
  <c r="K376" i="4"/>
  <c r="K374" i="4"/>
  <c r="K372" i="4"/>
  <c r="K370" i="4"/>
  <c r="K368" i="4"/>
  <c r="K366" i="4"/>
  <c r="K364" i="4"/>
  <c r="K362" i="4"/>
  <c r="K360" i="4"/>
  <c r="K358" i="4"/>
  <c r="K356" i="4"/>
  <c r="K354" i="4"/>
  <c r="K352" i="4"/>
  <c r="K350" i="4"/>
  <c r="K348" i="4"/>
  <c r="K346" i="4"/>
  <c r="K344" i="4"/>
  <c r="K342" i="4"/>
  <c r="K339" i="4"/>
  <c r="K297" i="4"/>
  <c r="K301" i="4"/>
  <c r="K299" i="4"/>
  <c r="K292" i="4"/>
  <c r="K290" i="4"/>
  <c r="K288" i="4"/>
  <c r="K286" i="4"/>
  <c r="K58" i="4"/>
  <c r="N56" i="4"/>
  <c r="H59" i="4"/>
  <c r="Z59" i="4" s="1"/>
  <c r="AI56" i="4"/>
  <c r="K56" i="4"/>
  <c r="AI60" i="4"/>
  <c r="H56" i="4"/>
  <c r="AI59" i="4"/>
  <c r="AI58" i="4"/>
  <c r="K294" i="4" s="1"/>
  <c r="N57" i="4"/>
  <c r="R57" i="4" s="1"/>
  <c r="H58" i="4"/>
  <c r="Z58" i="4" s="1"/>
  <c r="H57" i="4"/>
  <c r="N59" i="4"/>
  <c r="H60" i="4"/>
  <c r="Z60" i="4" s="1"/>
  <c r="N60" i="4"/>
  <c r="N58" i="4"/>
  <c r="AI57" i="4"/>
  <c r="N398" i="4" l="1"/>
  <c r="N303" i="4"/>
  <c r="N307" i="4"/>
  <c r="N285" i="4"/>
  <c r="N377" i="4"/>
  <c r="N310" i="4"/>
  <c r="N286" i="4"/>
  <c r="N379" i="4"/>
  <c r="N288" i="4"/>
  <c r="N280" i="4"/>
  <c r="N393" i="4"/>
  <c r="N283" i="4"/>
  <c r="N318" i="4"/>
  <c r="N290" i="4"/>
  <c r="N352" i="4"/>
  <c r="N376" i="4"/>
  <c r="N302" i="4"/>
  <c r="N359" i="4"/>
  <c r="N383" i="4"/>
  <c r="N278" i="4"/>
  <c r="N331" i="4"/>
  <c r="N337" i="4"/>
  <c r="N336" i="4"/>
  <c r="N273" i="4"/>
  <c r="N374" i="4"/>
  <c r="N354" i="4"/>
  <c r="N361" i="4"/>
  <c r="N385" i="4"/>
  <c r="N281" i="4"/>
  <c r="N312" i="4"/>
  <c r="N316" i="4"/>
  <c r="N327" i="4"/>
  <c r="N346" i="4"/>
  <c r="N298" i="4"/>
  <c r="N300" i="4"/>
  <c r="N292" i="4"/>
  <c r="N299" i="4"/>
  <c r="N356" i="4"/>
  <c r="N380" i="4"/>
  <c r="N340" i="4"/>
  <c r="N363" i="4"/>
  <c r="N258" i="4"/>
  <c r="N284" i="4"/>
  <c r="N330" i="4"/>
  <c r="N334" i="4"/>
  <c r="N270" i="4"/>
  <c r="N323" i="4"/>
  <c r="N329" i="4"/>
  <c r="N348" i="4"/>
  <c r="N355" i="4"/>
  <c r="N322" i="4"/>
  <c r="N381" i="4"/>
  <c r="N378" i="4"/>
  <c r="N305" i="4"/>
  <c r="N301" i="4"/>
  <c r="N358" i="4"/>
  <c r="N382" i="4"/>
  <c r="N341" i="4"/>
  <c r="N365" i="4"/>
  <c r="N260" i="4"/>
  <c r="N269" i="4"/>
  <c r="N276" i="4"/>
  <c r="N325" i="4"/>
  <c r="N313" i="4"/>
  <c r="N328" i="4"/>
  <c r="N353" i="4"/>
  <c r="N372" i="4"/>
  <c r="N309" i="4"/>
  <c r="N350" i="4"/>
  <c r="N294" i="4"/>
  <c r="N297" i="4"/>
  <c r="N360" i="4"/>
  <c r="N384" i="4"/>
  <c r="N343" i="4"/>
  <c r="N367" i="4"/>
  <c r="N262" i="4"/>
  <c r="N272" i="4"/>
  <c r="N277" i="4"/>
  <c r="N268" i="4"/>
  <c r="N370" i="4"/>
  <c r="N263" i="4"/>
  <c r="N267" i="4"/>
  <c r="N357" i="4"/>
  <c r="N308" i="4"/>
  <c r="N362" i="4"/>
  <c r="N386" i="4"/>
  <c r="N345" i="4"/>
  <c r="N369" i="4"/>
  <c r="N264" i="4"/>
  <c r="N275" i="4"/>
  <c r="N282" i="4"/>
  <c r="N321" i="4"/>
  <c r="N274" i="4"/>
  <c r="N339" i="4"/>
  <c r="N364" i="4"/>
  <c r="N347" i="4"/>
  <c r="N371" i="4"/>
  <c r="N266" i="4"/>
  <c r="N279" i="4"/>
  <c r="N332" i="4"/>
  <c r="N338" i="4"/>
  <c r="N320" i="4"/>
  <c r="N319" i="4"/>
  <c r="N342" i="4"/>
  <c r="N366" i="4"/>
  <c r="N287" i="4"/>
  <c r="N349" i="4"/>
  <c r="N373" i="4"/>
  <c r="N259" i="4"/>
  <c r="N326" i="4"/>
  <c r="N315" i="4"/>
  <c r="N317" i="4"/>
  <c r="N271" i="4"/>
  <c r="N291" i="4"/>
  <c r="N265" i="4"/>
  <c r="N344" i="4"/>
  <c r="N368" i="4"/>
  <c r="N289" i="4"/>
  <c r="N351" i="4"/>
  <c r="N375" i="4"/>
  <c r="N261" i="4"/>
  <c r="N311" i="4"/>
  <c r="N333" i="4"/>
  <c r="N335" i="4"/>
  <c r="N314" i="4"/>
  <c r="N324" i="4"/>
  <c r="AA59" i="4"/>
  <c r="AA57" i="4"/>
  <c r="AA58" i="4"/>
  <c r="Z56" i="4"/>
  <c r="AB58" i="4"/>
  <c r="AB56" i="4"/>
  <c r="AA60" i="4"/>
  <c r="AA56" i="4"/>
  <c r="AB59" i="4"/>
  <c r="Z57" i="4"/>
  <c r="K296" i="4"/>
  <c r="N304" i="4"/>
  <c r="K295" i="4"/>
  <c r="N306" i="4"/>
  <c r="K293" i="4"/>
  <c r="AB60" i="4"/>
  <c r="AB57" i="4"/>
  <c r="Y4" i="3"/>
  <c r="N295" i="4" l="1"/>
  <c r="N296" i="4"/>
  <c r="N293" i="4"/>
  <c r="V15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" i="4"/>
  <c r="X5" i="4" l="1"/>
  <c r="Y5" i="4"/>
  <c r="AD5" i="4"/>
  <c r="AE5" i="4"/>
  <c r="AF5" i="4"/>
  <c r="AG5" i="4"/>
  <c r="AH5" i="4"/>
  <c r="X6" i="4"/>
  <c r="Y6" i="4"/>
  <c r="AD6" i="4"/>
  <c r="AE6" i="4"/>
  <c r="AF6" i="4"/>
  <c r="AG6" i="4"/>
  <c r="AH6" i="4"/>
  <c r="X7" i="4"/>
  <c r="Y7" i="4"/>
  <c r="AD7" i="4"/>
  <c r="AE7" i="4"/>
  <c r="AF7" i="4"/>
  <c r="AG7" i="4"/>
  <c r="AH7" i="4"/>
  <c r="X8" i="4"/>
  <c r="Y8" i="4"/>
  <c r="AD8" i="4"/>
  <c r="AE8" i="4"/>
  <c r="AF8" i="4"/>
  <c r="AG8" i="4"/>
  <c r="AH8" i="4"/>
  <c r="X9" i="4"/>
  <c r="Y9" i="4"/>
  <c r="AD9" i="4"/>
  <c r="AE9" i="4"/>
  <c r="AF9" i="4"/>
  <c r="AG9" i="4"/>
  <c r="AH9" i="4"/>
  <c r="X10" i="4"/>
  <c r="Y10" i="4"/>
  <c r="AD10" i="4"/>
  <c r="AE10" i="4"/>
  <c r="AF10" i="4"/>
  <c r="AG10" i="4"/>
  <c r="AH10" i="4"/>
  <c r="X11" i="4"/>
  <c r="Y11" i="4"/>
  <c r="AD11" i="4"/>
  <c r="AE11" i="4"/>
  <c r="AF11" i="4"/>
  <c r="AG11" i="4"/>
  <c r="AH11" i="4"/>
  <c r="X12" i="4"/>
  <c r="Y12" i="4"/>
  <c r="AD12" i="4"/>
  <c r="AE12" i="4"/>
  <c r="AF12" i="4"/>
  <c r="AG12" i="4"/>
  <c r="AH12" i="4"/>
  <c r="X13" i="4"/>
  <c r="Y13" i="4"/>
  <c r="AD13" i="4"/>
  <c r="AE13" i="4"/>
  <c r="AF13" i="4"/>
  <c r="AG13" i="4"/>
  <c r="AH13" i="4"/>
  <c r="X14" i="4"/>
  <c r="Y14" i="4"/>
  <c r="AD14" i="4"/>
  <c r="AE14" i="4"/>
  <c r="AF14" i="4"/>
  <c r="AG14" i="4"/>
  <c r="AH14" i="4"/>
  <c r="X15" i="4"/>
  <c r="Y15" i="4"/>
  <c r="AD15" i="4"/>
  <c r="AE15" i="4"/>
  <c r="AF15" i="4"/>
  <c r="AG15" i="4"/>
  <c r="AH15" i="4"/>
  <c r="X16" i="4"/>
  <c r="Y16" i="4"/>
  <c r="AD16" i="4"/>
  <c r="AE16" i="4"/>
  <c r="AF16" i="4"/>
  <c r="AG16" i="4"/>
  <c r="AH16" i="4"/>
  <c r="X17" i="4"/>
  <c r="Y17" i="4"/>
  <c r="AD17" i="4"/>
  <c r="AE17" i="4"/>
  <c r="AF17" i="4"/>
  <c r="AG17" i="4"/>
  <c r="AH17" i="4"/>
  <c r="X18" i="4"/>
  <c r="Y18" i="4"/>
  <c r="AD18" i="4"/>
  <c r="AE18" i="4"/>
  <c r="AF18" i="4"/>
  <c r="AG18" i="4"/>
  <c r="AH18" i="4"/>
  <c r="X19" i="4"/>
  <c r="Y19" i="4"/>
  <c r="AD19" i="4"/>
  <c r="AE19" i="4"/>
  <c r="AF19" i="4"/>
  <c r="AG19" i="4"/>
  <c r="AH19" i="4"/>
  <c r="X20" i="4"/>
  <c r="Y20" i="4"/>
  <c r="AD20" i="4"/>
  <c r="AE20" i="4"/>
  <c r="AF20" i="4"/>
  <c r="AG20" i="4"/>
  <c r="AH20" i="4"/>
  <c r="X21" i="4"/>
  <c r="Y21" i="4"/>
  <c r="AD21" i="4"/>
  <c r="AE21" i="4"/>
  <c r="AF21" i="4"/>
  <c r="AG21" i="4"/>
  <c r="AH21" i="4"/>
  <c r="X22" i="4"/>
  <c r="Y22" i="4"/>
  <c r="AD22" i="4"/>
  <c r="AE22" i="4"/>
  <c r="AF22" i="4"/>
  <c r="AG22" i="4"/>
  <c r="AH22" i="4"/>
  <c r="X23" i="4"/>
  <c r="Y23" i="4"/>
  <c r="AD23" i="4"/>
  <c r="AE23" i="4"/>
  <c r="AF23" i="4"/>
  <c r="AG23" i="4"/>
  <c r="AH23" i="4"/>
  <c r="X24" i="4"/>
  <c r="Y24" i="4"/>
  <c r="AD24" i="4"/>
  <c r="AE24" i="4"/>
  <c r="AF24" i="4"/>
  <c r="AG24" i="4"/>
  <c r="AH24" i="4"/>
  <c r="X25" i="4"/>
  <c r="Y25" i="4"/>
  <c r="AD25" i="4"/>
  <c r="AE25" i="4"/>
  <c r="AF25" i="4"/>
  <c r="AG25" i="4"/>
  <c r="AH25" i="4"/>
  <c r="X26" i="4"/>
  <c r="Y26" i="4"/>
  <c r="AD26" i="4"/>
  <c r="AE26" i="4"/>
  <c r="AF26" i="4"/>
  <c r="AG26" i="4"/>
  <c r="AH26" i="4"/>
  <c r="X27" i="4"/>
  <c r="Y27" i="4"/>
  <c r="AD27" i="4"/>
  <c r="AE27" i="4"/>
  <c r="AF27" i="4"/>
  <c r="AG27" i="4"/>
  <c r="AH27" i="4"/>
  <c r="X28" i="4"/>
  <c r="Y28" i="4"/>
  <c r="AD28" i="4"/>
  <c r="AE28" i="4"/>
  <c r="AF28" i="4"/>
  <c r="AG28" i="4"/>
  <c r="AH28" i="4"/>
  <c r="X29" i="4"/>
  <c r="Y29" i="4"/>
  <c r="AD29" i="4"/>
  <c r="AE29" i="4"/>
  <c r="AF29" i="4"/>
  <c r="AG29" i="4"/>
  <c r="AH29" i="4"/>
  <c r="X30" i="4"/>
  <c r="Y30" i="4"/>
  <c r="AD30" i="4"/>
  <c r="AE30" i="4"/>
  <c r="AF30" i="4"/>
  <c r="AG30" i="4"/>
  <c r="AH30" i="4"/>
  <c r="X31" i="4"/>
  <c r="Y31" i="4"/>
  <c r="AD31" i="4"/>
  <c r="AE31" i="4"/>
  <c r="AF31" i="4"/>
  <c r="AG31" i="4"/>
  <c r="AH31" i="4"/>
  <c r="X32" i="4"/>
  <c r="Y32" i="4"/>
  <c r="AD32" i="4"/>
  <c r="AE32" i="4"/>
  <c r="AF32" i="4"/>
  <c r="AG32" i="4"/>
  <c r="AH32" i="4"/>
  <c r="X33" i="4"/>
  <c r="Y33" i="4"/>
  <c r="AD33" i="4"/>
  <c r="AE33" i="4"/>
  <c r="AF33" i="4"/>
  <c r="AG33" i="4"/>
  <c r="AH33" i="4"/>
  <c r="X34" i="4"/>
  <c r="Y34" i="4"/>
  <c r="AD34" i="4"/>
  <c r="AE34" i="4"/>
  <c r="AF34" i="4"/>
  <c r="AG34" i="4"/>
  <c r="AH34" i="4"/>
  <c r="X35" i="4"/>
  <c r="Y35" i="4"/>
  <c r="AD35" i="4"/>
  <c r="AE35" i="4"/>
  <c r="AF35" i="4"/>
  <c r="AG35" i="4"/>
  <c r="AH35" i="4"/>
  <c r="X36" i="4"/>
  <c r="Y36" i="4"/>
  <c r="AD36" i="4"/>
  <c r="AE36" i="4"/>
  <c r="AF36" i="4"/>
  <c r="AG36" i="4"/>
  <c r="AH36" i="4"/>
  <c r="X37" i="4"/>
  <c r="Y37" i="4"/>
  <c r="AD37" i="4"/>
  <c r="AE37" i="4"/>
  <c r="AF37" i="4"/>
  <c r="AG37" i="4"/>
  <c r="AH37" i="4"/>
  <c r="X38" i="4"/>
  <c r="Y38" i="4"/>
  <c r="AD38" i="4"/>
  <c r="AE38" i="4"/>
  <c r="AF38" i="4"/>
  <c r="AG38" i="4"/>
  <c r="AH38" i="4"/>
  <c r="X39" i="4"/>
  <c r="Y39" i="4"/>
  <c r="AD39" i="4"/>
  <c r="AE39" i="4"/>
  <c r="AF39" i="4"/>
  <c r="AG39" i="4"/>
  <c r="AH39" i="4"/>
  <c r="X40" i="4"/>
  <c r="Y40" i="4"/>
  <c r="AD40" i="4"/>
  <c r="AE40" i="4"/>
  <c r="AF40" i="4"/>
  <c r="AG40" i="4"/>
  <c r="AH40" i="4"/>
  <c r="X41" i="4"/>
  <c r="Y41" i="4"/>
  <c r="AD41" i="4"/>
  <c r="AE41" i="4"/>
  <c r="AF41" i="4"/>
  <c r="AG41" i="4"/>
  <c r="AH41" i="4"/>
  <c r="X42" i="4"/>
  <c r="Y42" i="4"/>
  <c r="AD42" i="4"/>
  <c r="AE42" i="4"/>
  <c r="AF42" i="4"/>
  <c r="AG42" i="4"/>
  <c r="AH42" i="4"/>
  <c r="X43" i="4"/>
  <c r="Y43" i="4"/>
  <c r="AD43" i="4"/>
  <c r="AE43" i="4"/>
  <c r="AF43" i="4"/>
  <c r="AG43" i="4"/>
  <c r="AH43" i="4"/>
  <c r="X44" i="4"/>
  <c r="Y44" i="4"/>
  <c r="AD44" i="4"/>
  <c r="AE44" i="4"/>
  <c r="AF44" i="4"/>
  <c r="AG44" i="4"/>
  <c r="AH44" i="4"/>
  <c r="X45" i="4"/>
  <c r="Y45" i="4"/>
  <c r="AD45" i="4"/>
  <c r="AE45" i="4"/>
  <c r="AF45" i="4"/>
  <c r="AG45" i="4"/>
  <c r="AH45" i="4"/>
  <c r="X46" i="4"/>
  <c r="Y46" i="4"/>
  <c r="AD46" i="4"/>
  <c r="AE46" i="4"/>
  <c r="AF46" i="4"/>
  <c r="AG46" i="4"/>
  <c r="AH46" i="4"/>
  <c r="X47" i="4"/>
  <c r="Y47" i="4"/>
  <c r="AD47" i="4"/>
  <c r="AE47" i="4"/>
  <c r="AF47" i="4"/>
  <c r="AG47" i="4"/>
  <c r="AH47" i="4"/>
  <c r="X48" i="4"/>
  <c r="Y48" i="4"/>
  <c r="AD48" i="4"/>
  <c r="AE48" i="4"/>
  <c r="AF48" i="4"/>
  <c r="AG48" i="4"/>
  <c r="AH48" i="4"/>
  <c r="Y4" i="4"/>
  <c r="AE4" i="4"/>
  <c r="AF4" i="4"/>
  <c r="AG4" i="4"/>
  <c r="AH4" i="4"/>
  <c r="X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" i="4"/>
  <c r="T5" i="4"/>
  <c r="U5" i="4"/>
  <c r="V5" i="4"/>
  <c r="T6" i="4"/>
  <c r="U6" i="4"/>
  <c r="V6" i="4"/>
  <c r="T7" i="4"/>
  <c r="U7" i="4"/>
  <c r="V7" i="4"/>
  <c r="T8" i="4"/>
  <c r="U8" i="4"/>
  <c r="V8" i="4"/>
  <c r="T9" i="4"/>
  <c r="U9" i="4"/>
  <c r="V9" i="4"/>
  <c r="T10" i="4"/>
  <c r="U10" i="4"/>
  <c r="V10" i="4"/>
  <c r="T11" i="4"/>
  <c r="U11" i="4"/>
  <c r="V11" i="4"/>
  <c r="T12" i="4"/>
  <c r="U12" i="4"/>
  <c r="V12" i="4"/>
  <c r="T13" i="4"/>
  <c r="U13" i="4"/>
  <c r="V13" i="4"/>
  <c r="T14" i="4"/>
  <c r="U14" i="4"/>
  <c r="V14" i="4"/>
  <c r="T15" i="4"/>
  <c r="U15" i="4"/>
  <c r="T16" i="4"/>
  <c r="U16" i="4"/>
  <c r="V16" i="4"/>
  <c r="T17" i="4"/>
  <c r="U17" i="4"/>
  <c r="V17" i="4"/>
  <c r="T18" i="4"/>
  <c r="U18" i="4"/>
  <c r="V18" i="4"/>
  <c r="T19" i="4"/>
  <c r="U19" i="4"/>
  <c r="V19" i="4"/>
  <c r="T20" i="4"/>
  <c r="U20" i="4"/>
  <c r="V20" i="4"/>
  <c r="T21" i="4"/>
  <c r="U21" i="4"/>
  <c r="V21" i="4"/>
  <c r="T22" i="4"/>
  <c r="U22" i="4"/>
  <c r="V22" i="4"/>
  <c r="T23" i="4"/>
  <c r="U23" i="4"/>
  <c r="V23" i="4"/>
  <c r="T24" i="4"/>
  <c r="U24" i="4"/>
  <c r="V24" i="4"/>
  <c r="T25" i="4"/>
  <c r="U25" i="4"/>
  <c r="V25" i="4"/>
  <c r="T26" i="4"/>
  <c r="U26" i="4"/>
  <c r="V26" i="4"/>
  <c r="T27" i="4"/>
  <c r="U27" i="4"/>
  <c r="V27" i="4"/>
  <c r="T28" i="4"/>
  <c r="U28" i="4"/>
  <c r="V28" i="4"/>
  <c r="T29" i="4"/>
  <c r="U29" i="4"/>
  <c r="V29" i="4"/>
  <c r="T30" i="4"/>
  <c r="U30" i="4"/>
  <c r="V30" i="4"/>
  <c r="T31" i="4"/>
  <c r="U31" i="4"/>
  <c r="V31" i="4"/>
  <c r="T32" i="4"/>
  <c r="U32" i="4"/>
  <c r="V32" i="4"/>
  <c r="T33" i="4"/>
  <c r="U33" i="4"/>
  <c r="V33" i="4"/>
  <c r="T34" i="4"/>
  <c r="U34" i="4"/>
  <c r="V34" i="4"/>
  <c r="T35" i="4"/>
  <c r="U35" i="4"/>
  <c r="V35" i="4"/>
  <c r="T36" i="4"/>
  <c r="U36" i="4"/>
  <c r="V36" i="4"/>
  <c r="T37" i="4"/>
  <c r="U37" i="4"/>
  <c r="V37" i="4"/>
  <c r="T38" i="4"/>
  <c r="U38" i="4"/>
  <c r="V38" i="4"/>
  <c r="T39" i="4"/>
  <c r="U39" i="4"/>
  <c r="V39" i="4"/>
  <c r="T40" i="4"/>
  <c r="U40" i="4"/>
  <c r="V40" i="4"/>
  <c r="T41" i="4"/>
  <c r="U41" i="4"/>
  <c r="V41" i="4"/>
  <c r="T42" i="4"/>
  <c r="U42" i="4"/>
  <c r="V42" i="4"/>
  <c r="T43" i="4"/>
  <c r="U43" i="4"/>
  <c r="V43" i="4"/>
  <c r="T44" i="4"/>
  <c r="U44" i="4"/>
  <c r="V44" i="4"/>
  <c r="T45" i="4"/>
  <c r="U45" i="4"/>
  <c r="V45" i="4"/>
  <c r="T46" i="4"/>
  <c r="U46" i="4"/>
  <c r="V46" i="4"/>
  <c r="T47" i="4"/>
  <c r="U47" i="4"/>
  <c r="V47" i="4"/>
  <c r="T48" i="4"/>
  <c r="U48" i="4"/>
  <c r="V48" i="4"/>
  <c r="V4" i="4"/>
  <c r="U4" i="4"/>
  <c r="T4" i="4"/>
  <c r="C5" i="4"/>
  <c r="D5" i="4"/>
  <c r="E5" i="4"/>
  <c r="F5" i="4"/>
  <c r="G5" i="4"/>
  <c r="I5" i="4"/>
  <c r="J5" i="4"/>
  <c r="K5" i="4" s="1"/>
  <c r="M5" i="4"/>
  <c r="P5" i="4"/>
  <c r="Q5" i="4"/>
  <c r="C6" i="4"/>
  <c r="D6" i="4"/>
  <c r="E6" i="4"/>
  <c r="F6" i="4"/>
  <c r="G6" i="4"/>
  <c r="I6" i="4"/>
  <c r="J6" i="4"/>
  <c r="K6" i="4" s="1"/>
  <c r="M6" i="4"/>
  <c r="P6" i="4"/>
  <c r="Q6" i="4"/>
  <c r="C7" i="4"/>
  <c r="D7" i="4"/>
  <c r="E7" i="4"/>
  <c r="F7" i="4"/>
  <c r="G7" i="4"/>
  <c r="I7" i="4"/>
  <c r="J7" i="4"/>
  <c r="K7" i="4" s="1"/>
  <c r="M7" i="4"/>
  <c r="P7" i="4"/>
  <c r="Q7" i="4"/>
  <c r="C8" i="4"/>
  <c r="D8" i="4"/>
  <c r="E8" i="4"/>
  <c r="F8" i="4"/>
  <c r="G8" i="4"/>
  <c r="I8" i="4"/>
  <c r="J8" i="4"/>
  <c r="K8" i="4" s="1"/>
  <c r="M8" i="4"/>
  <c r="P8" i="4"/>
  <c r="Q8" i="4"/>
  <c r="C9" i="4"/>
  <c r="D9" i="4"/>
  <c r="E9" i="4"/>
  <c r="F9" i="4"/>
  <c r="G9" i="4"/>
  <c r="I9" i="4"/>
  <c r="J9" i="4"/>
  <c r="K9" i="4" s="1"/>
  <c r="M9" i="4"/>
  <c r="P9" i="4"/>
  <c r="R9" i="4" s="1"/>
  <c r="Q9" i="4"/>
  <c r="C10" i="4"/>
  <c r="D10" i="4"/>
  <c r="E10" i="4"/>
  <c r="F10" i="4"/>
  <c r="G10" i="4"/>
  <c r="I10" i="4"/>
  <c r="J10" i="4"/>
  <c r="K10" i="4" s="1"/>
  <c r="M10" i="4"/>
  <c r="P10" i="4"/>
  <c r="R10" i="4" s="1"/>
  <c r="Q10" i="4"/>
  <c r="C11" i="4"/>
  <c r="D11" i="4"/>
  <c r="E11" i="4"/>
  <c r="F11" i="4"/>
  <c r="G11" i="4"/>
  <c r="I11" i="4"/>
  <c r="J11" i="4"/>
  <c r="K11" i="4" s="1"/>
  <c r="M11" i="4"/>
  <c r="P11" i="4"/>
  <c r="R11" i="4" s="1"/>
  <c r="Q11" i="4"/>
  <c r="C12" i="4"/>
  <c r="D12" i="4"/>
  <c r="E12" i="4"/>
  <c r="F12" i="4"/>
  <c r="G12" i="4"/>
  <c r="I12" i="4"/>
  <c r="J12" i="4"/>
  <c r="K12" i="4" s="1"/>
  <c r="M12" i="4"/>
  <c r="P12" i="4"/>
  <c r="R12" i="4" s="1"/>
  <c r="Q12" i="4"/>
  <c r="C13" i="4"/>
  <c r="D13" i="4"/>
  <c r="E13" i="4"/>
  <c r="F13" i="4"/>
  <c r="G13" i="4"/>
  <c r="I13" i="4"/>
  <c r="J13" i="4"/>
  <c r="K13" i="4" s="1"/>
  <c r="M13" i="4"/>
  <c r="P13" i="4"/>
  <c r="R13" i="4" s="1"/>
  <c r="Q13" i="4"/>
  <c r="C14" i="4"/>
  <c r="D14" i="4"/>
  <c r="E14" i="4"/>
  <c r="F14" i="4"/>
  <c r="G14" i="4"/>
  <c r="I14" i="4"/>
  <c r="J14" i="4"/>
  <c r="K14" i="4" s="1"/>
  <c r="M14" i="4"/>
  <c r="P14" i="4"/>
  <c r="Q14" i="4"/>
  <c r="C15" i="4"/>
  <c r="D15" i="4"/>
  <c r="E15" i="4"/>
  <c r="F15" i="4"/>
  <c r="G15" i="4"/>
  <c r="I15" i="4"/>
  <c r="J15" i="4"/>
  <c r="K15" i="4" s="1"/>
  <c r="M15" i="4"/>
  <c r="P15" i="4"/>
  <c r="R15" i="4" s="1"/>
  <c r="Q15" i="4"/>
  <c r="C16" i="4"/>
  <c r="D16" i="4"/>
  <c r="E16" i="4"/>
  <c r="F16" i="4"/>
  <c r="G16" i="4"/>
  <c r="I16" i="4"/>
  <c r="J16" i="4"/>
  <c r="K16" i="4" s="1"/>
  <c r="M16" i="4"/>
  <c r="P16" i="4"/>
  <c r="R16" i="4" s="1"/>
  <c r="Q16" i="4"/>
  <c r="C17" i="4"/>
  <c r="D17" i="4"/>
  <c r="E17" i="4"/>
  <c r="F17" i="4"/>
  <c r="G17" i="4"/>
  <c r="I17" i="4"/>
  <c r="J17" i="4"/>
  <c r="K17" i="4" s="1"/>
  <c r="M17" i="4"/>
  <c r="P17" i="4"/>
  <c r="R17" i="4" s="1"/>
  <c r="Q17" i="4"/>
  <c r="C18" i="4"/>
  <c r="D18" i="4"/>
  <c r="E18" i="4"/>
  <c r="F18" i="4"/>
  <c r="G18" i="4"/>
  <c r="I18" i="4"/>
  <c r="J18" i="4"/>
  <c r="K18" i="4" s="1"/>
  <c r="M18" i="4"/>
  <c r="P18" i="4"/>
  <c r="R18" i="4" s="1"/>
  <c r="Q18" i="4"/>
  <c r="C19" i="4"/>
  <c r="D19" i="4"/>
  <c r="E19" i="4"/>
  <c r="F19" i="4"/>
  <c r="G19" i="4"/>
  <c r="I19" i="4"/>
  <c r="J19" i="4"/>
  <c r="K19" i="4" s="1"/>
  <c r="M19" i="4"/>
  <c r="P19" i="4"/>
  <c r="R19" i="4" s="1"/>
  <c r="Q19" i="4"/>
  <c r="C20" i="4"/>
  <c r="D20" i="4"/>
  <c r="E20" i="4"/>
  <c r="F20" i="4"/>
  <c r="G20" i="4"/>
  <c r="I20" i="4"/>
  <c r="J20" i="4"/>
  <c r="K20" i="4" s="1"/>
  <c r="M20" i="4"/>
  <c r="P20" i="4"/>
  <c r="R20" i="4" s="1"/>
  <c r="Q20" i="4"/>
  <c r="C21" i="4"/>
  <c r="D21" i="4"/>
  <c r="E21" i="4"/>
  <c r="F21" i="4"/>
  <c r="G21" i="4"/>
  <c r="I21" i="4"/>
  <c r="J21" i="4"/>
  <c r="K21" i="4" s="1"/>
  <c r="M21" i="4"/>
  <c r="P21" i="4"/>
  <c r="R21" i="4" s="1"/>
  <c r="Q21" i="4"/>
  <c r="C22" i="4"/>
  <c r="D22" i="4"/>
  <c r="E22" i="4"/>
  <c r="F22" i="4"/>
  <c r="G22" i="4"/>
  <c r="I22" i="4"/>
  <c r="J22" i="4"/>
  <c r="K22" i="4" s="1"/>
  <c r="M22" i="4"/>
  <c r="P22" i="4"/>
  <c r="R22" i="4" s="1"/>
  <c r="Q22" i="4"/>
  <c r="C23" i="4"/>
  <c r="D23" i="4"/>
  <c r="E23" i="4"/>
  <c r="F23" i="4"/>
  <c r="G23" i="4"/>
  <c r="I23" i="4"/>
  <c r="J23" i="4"/>
  <c r="K23" i="4" s="1"/>
  <c r="M23" i="4"/>
  <c r="P23" i="4"/>
  <c r="R23" i="4" s="1"/>
  <c r="Q23" i="4"/>
  <c r="C24" i="4"/>
  <c r="D24" i="4"/>
  <c r="E24" i="4"/>
  <c r="F24" i="4"/>
  <c r="G24" i="4"/>
  <c r="I24" i="4"/>
  <c r="J24" i="4"/>
  <c r="K24" i="4" s="1"/>
  <c r="M24" i="4"/>
  <c r="P24" i="4"/>
  <c r="R24" i="4" s="1"/>
  <c r="Q24" i="4"/>
  <c r="C25" i="4"/>
  <c r="D25" i="4"/>
  <c r="E25" i="4"/>
  <c r="F25" i="4"/>
  <c r="G25" i="4"/>
  <c r="I25" i="4"/>
  <c r="J25" i="4"/>
  <c r="K25" i="4" s="1"/>
  <c r="M25" i="4"/>
  <c r="P25" i="4"/>
  <c r="R25" i="4" s="1"/>
  <c r="Q25" i="4"/>
  <c r="C26" i="4"/>
  <c r="D26" i="4"/>
  <c r="E26" i="4"/>
  <c r="F26" i="4"/>
  <c r="G26" i="4"/>
  <c r="I26" i="4"/>
  <c r="J26" i="4"/>
  <c r="K26" i="4" s="1"/>
  <c r="M26" i="4"/>
  <c r="P26" i="4"/>
  <c r="R26" i="4" s="1"/>
  <c r="Q26" i="4"/>
  <c r="C27" i="4"/>
  <c r="D27" i="4"/>
  <c r="E27" i="4"/>
  <c r="F27" i="4"/>
  <c r="G27" i="4"/>
  <c r="I27" i="4"/>
  <c r="J27" i="4"/>
  <c r="K27" i="4" s="1"/>
  <c r="M27" i="4"/>
  <c r="P27" i="4"/>
  <c r="R27" i="4" s="1"/>
  <c r="Q27" i="4"/>
  <c r="C28" i="4"/>
  <c r="D28" i="4"/>
  <c r="E28" i="4"/>
  <c r="F28" i="4"/>
  <c r="G28" i="4"/>
  <c r="I28" i="4"/>
  <c r="J28" i="4"/>
  <c r="K28" i="4" s="1"/>
  <c r="M28" i="4"/>
  <c r="P28" i="4"/>
  <c r="R28" i="4" s="1"/>
  <c r="Q28" i="4"/>
  <c r="C29" i="4"/>
  <c r="D29" i="4"/>
  <c r="E29" i="4"/>
  <c r="F29" i="4"/>
  <c r="G29" i="4"/>
  <c r="I29" i="4"/>
  <c r="J29" i="4"/>
  <c r="K29" i="4" s="1"/>
  <c r="M29" i="4"/>
  <c r="P29" i="4"/>
  <c r="R29" i="4" s="1"/>
  <c r="Q29" i="4"/>
  <c r="C30" i="4"/>
  <c r="D30" i="4"/>
  <c r="E30" i="4"/>
  <c r="F30" i="4"/>
  <c r="G30" i="4"/>
  <c r="I30" i="4"/>
  <c r="J30" i="4"/>
  <c r="K30" i="4" s="1"/>
  <c r="M30" i="4"/>
  <c r="P30" i="4"/>
  <c r="R30" i="4" s="1"/>
  <c r="Q30" i="4"/>
  <c r="C31" i="4"/>
  <c r="D31" i="4"/>
  <c r="E31" i="4"/>
  <c r="F31" i="4"/>
  <c r="G31" i="4"/>
  <c r="I31" i="4"/>
  <c r="J31" i="4"/>
  <c r="K31" i="4" s="1"/>
  <c r="M31" i="4"/>
  <c r="P31" i="4"/>
  <c r="R31" i="4" s="1"/>
  <c r="Q31" i="4"/>
  <c r="C32" i="4"/>
  <c r="D32" i="4"/>
  <c r="E32" i="4"/>
  <c r="F32" i="4"/>
  <c r="G32" i="4"/>
  <c r="I32" i="4"/>
  <c r="J32" i="4"/>
  <c r="K32" i="4" s="1"/>
  <c r="M32" i="4"/>
  <c r="P32" i="4"/>
  <c r="R32" i="4" s="1"/>
  <c r="Q32" i="4"/>
  <c r="C33" i="4"/>
  <c r="D33" i="4"/>
  <c r="E33" i="4"/>
  <c r="F33" i="4"/>
  <c r="G33" i="4"/>
  <c r="I33" i="4"/>
  <c r="J33" i="4"/>
  <c r="K33" i="4" s="1"/>
  <c r="M33" i="4"/>
  <c r="P33" i="4"/>
  <c r="R33" i="4" s="1"/>
  <c r="Q33" i="4"/>
  <c r="C34" i="4"/>
  <c r="D34" i="4"/>
  <c r="E34" i="4"/>
  <c r="F34" i="4"/>
  <c r="G34" i="4"/>
  <c r="I34" i="4"/>
  <c r="J34" i="4"/>
  <c r="K34" i="4" s="1"/>
  <c r="M34" i="4"/>
  <c r="P34" i="4"/>
  <c r="R34" i="4" s="1"/>
  <c r="Q34" i="4"/>
  <c r="C35" i="4"/>
  <c r="D35" i="4"/>
  <c r="E35" i="4"/>
  <c r="F35" i="4"/>
  <c r="G35" i="4"/>
  <c r="I35" i="4"/>
  <c r="J35" i="4"/>
  <c r="K35" i="4" s="1"/>
  <c r="M35" i="4"/>
  <c r="P35" i="4"/>
  <c r="R35" i="4" s="1"/>
  <c r="Q35" i="4"/>
  <c r="C36" i="4"/>
  <c r="D36" i="4"/>
  <c r="E36" i="4"/>
  <c r="F36" i="4"/>
  <c r="G36" i="4"/>
  <c r="I36" i="4"/>
  <c r="J36" i="4"/>
  <c r="K36" i="4" s="1"/>
  <c r="M36" i="4"/>
  <c r="P36" i="4"/>
  <c r="R36" i="4" s="1"/>
  <c r="Q36" i="4"/>
  <c r="C37" i="4"/>
  <c r="D37" i="4"/>
  <c r="E37" i="4"/>
  <c r="F37" i="4"/>
  <c r="G37" i="4"/>
  <c r="I37" i="4"/>
  <c r="J37" i="4"/>
  <c r="K37" i="4" s="1"/>
  <c r="M37" i="4"/>
  <c r="P37" i="4"/>
  <c r="R37" i="4" s="1"/>
  <c r="Q37" i="4"/>
  <c r="C38" i="4"/>
  <c r="D38" i="4"/>
  <c r="E38" i="4"/>
  <c r="F38" i="4"/>
  <c r="G38" i="4"/>
  <c r="I38" i="4"/>
  <c r="J38" i="4"/>
  <c r="K38" i="4" s="1"/>
  <c r="M38" i="4"/>
  <c r="P38" i="4"/>
  <c r="R38" i="4" s="1"/>
  <c r="Q38" i="4"/>
  <c r="C39" i="4"/>
  <c r="D39" i="4"/>
  <c r="E39" i="4"/>
  <c r="F39" i="4"/>
  <c r="G39" i="4"/>
  <c r="I39" i="4"/>
  <c r="J39" i="4"/>
  <c r="K39" i="4" s="1"/>
  <c r="M39" i="4"/>
  <c r="P39" i="4"/>
  <c r="R39" i="4" s="1"/>
  <c r="Q39" i="4"/>
  <c r="C40" i="4"/>
  <c r="D40" i="4"/>
  <c r="E40" i="4"/>
  <c r="F40" i="4"/>
  <c r="G40" i="4"/>
  <c r="I40" i="4"/>
  <c r="J40" i="4"/>
  <c r="K40" i="4" s="1"/>
  <c r="M40" i="4"/>
  <c r="P40" i="4"/>
  <c r="R40" i="4" s="1"/>
  <c r="Q40" i="4"/>
  <c r="C41" i="4"/>
  <c r="D41" i="4"/>
  <c r="E41" i="4"/>
  <c r="F41" i="4"/>
  <c r="G41" i="4"/>
  <c r="I41" i="4"/>
  <c r="J41" i="4"/>
  <c r="K41" i="4" s="1"/>
  <c r="M41" i="4"/>
  <c r="P41" i="4"/>
  <c r="R41" i="4" s="1"/>
  <c r="Q41" i="4"/>
  <c r="C42" i="4"/>
  <c r="D42" i="4"/>
  <c r="E42" i="4"/>
  <c r="F42" i="4"/>
  <c r="G42" i="4"/>
  <c r="I42" i="4"/>
  <c r="J42" i="4"/>
  <c r="K42" i="4" s="1"/>
  <c r="M42" i="4"/>
  <c r="P42" i="4"/>
  <c r="R42" i="4" s="1"/>
  <c r="Q42" i="4"/>
  <c r="C43" i="4"/>
  <c r="D43" i="4"/>
  <c r="E43" i="4"/>
  <c r="F43" i="4"/>
  <c r="G43" i="4"/>
  <c r="I43" i="4"/>
  <c r="J43" i="4"/>
  <c r="K43" i="4" s="1"/>
  <c r="M43" i="4"/>
  <c r="P43" i="4"/>
  <c r="R43" i="4" s="1"/>
  <c r="Q43" i="4"/>
  <c r="C44" i="4"/>
  <c r="D44" i="4"/>
  <c r="E44" i="4"/>
  <c r="F44" i="4"/>
  <c r="G44" i="4"/>
  <c r="I44" i="4"/>
  <c r="J44" i="4"/>
  <c r="K44" i="4" s="1"/>
  <c r="M44" i="4"/>
  <c r="P44" i="4"/>
  <c r="R44" i="4" s="1"/>
  <c r="Q44" i="4"/>
  <c r="C45" i="4"/>
  <c r="D45" i="4"/>
  <c r="E45" i="4"/>
  <c r="F45" i="4"/>
  <c r="G45" i="4"/>
  <c r="I45" i="4"/>
  <c r="J45" i="4"/>
  <c r="K45" i="4" s="1"/>
  <c r="M45" i="4"/>
  <c r="P45" i="4"/>
  <c r="R45" i="4" s="1"/>
  <c r="Q45" i="4"/>
  <c r="C46" i="4"/>
  <c r="D46" i="4"/>
  <c r="E46" i="4"/>
  <c r="F46" i="4"/>
  <c r="G46" i="4"/>
  <c r="I46" i="4"/>
  <c r="J46" i="4"/>
  <c r="K46" i="4" s="1"/>
  <c r="M46" i="4"/>
  <c r="P46" i="4"/>
  <c r="Q46" i="4"/>
  <c r="C47" i="4"/>
  <c r="D47" i="4"/>
  <c r="E47" i="4"/>
  <c r="F47" i="4"/>
  <c r="G47" i="4"/>
  <c r="I47" i="4"/>
  <c r="J47" i="4"/>
  <c r="K47" i="4" s="1"/>
  <c r="M47" i="4"/>
  <c r="P47" i="4"/>
  <c r="R47" i="4" s="1"/>
  <c r="Q47" i="4"/>
  <c r="C48" i="4"/>
  <c r="D48" i="4"/>
  <c r="E48" i="4"/>
  <c r="F48" i="4"/>
  <c r="G48" i="4"/>
  <c r="I48" i="4"/>
  <c r="J48" i="4"/>
  <c r="K48" i="4" s="1"/>
  <c r="M48" i="4"/>
  <c r="P48" i="4"/>
  <c r="R48" i="4" s="1"/>
  <c r="Q48" i="4"/>
  <c r="Q4" i="4"/>
  <c r="P4" i="4"/>
  <c r="M4" i="4"/>
  <c r="J4" i="4"/>
  <c r="I4" i="4"/>
  <c r="G4" i="4"/>
  <c r="F4" i="4"/>
  <c r="E4" i="4"/>
  <c r="D4" i="4"/>
  <c r="C4" i="4"/>
  <c r="AC61" i="4"/>
  <c r="AI61" i="4"/>
  <c r="AI62" i="4" s="1"/>
  <c r="M61" i="4"/>
  <c r="L61" i="4"/>
  <c r="J61" i="4"/>
  <c r="E61" i="4"/>
  <c r="E62" i="4" s="1"/>
  <c r="K191" i="4" l="1"/>
  <c r="N191" i="4" s="1"/>
  <c r="K143" i="4"/>
  <c r="N143" i="4" s="1"/>
  <c r="K190" i="4"/>
  <c r="N190" i="4" s="1"/>
  <c r="K142" i="4"/>
  <c r="N142" i="4" s="1"/>
  <c r="K183" i="4"/>
  <c r="N183" i="4" s="1"/>
  <c r="K135" i="4"/>
  <c r="N135" i="4" s="1"/>
  <c r="K182" i="4"/>
  <c r="N182" i="4" s="1"/>
  <c r="K134" i="4"/>
  <c r="N134" i="4" s="1"/>
  <c r="K158" i="4"/>
  <c r="N158" i="4" s="1"/>
  <c r="K175" i="4"/>
  <c r="N175" i="4" s="1"/>
  <c r="K127" i="4"/>
  <c r="N127" i="4" s="1"/>
  <c r="K174" i="4"/>
  <c r="N174" i="4" s="1"/>
  <c r="K126" i="4"/>
  <c r="N126" i="4" s="1"/>
  <c r="K167" i="4"/>
  <c r="N167" i="4" s="1"/>
  <c r="K166" i="4"/>
  <c r="N166" i="4" s="1"/>
  <c r="K159" i="4"/>
  <c r="N159" i="4" s="1"/>
  <c r="K151" i="4"/>
  <c r="N151" i="4" s="1"/>
  <c r="K150" i="4"/>
  <c r="N150" i="4" s="1"/>
  <c r="K96" i="4"/>
  <c r="N96" i="4" s="1"/>
  <c r="K92" i="4"/>
  <c r="N92" i="4" s="1"/>
  <c r="K88" i="4"/>
  <c r="N88" i="4" s="1"/>
  <c r="K120" i="4"/>
  <c r="N120" i="4" s="1"/>
  <c r="K116" i="4"/>
  <c r="N116" i="4" s="1"/>
  <c r="K100" i="4"/>
  <c r="N100" i="4" s="1"/>
  <c r="K112" i="4"/>
  <c r="N112" i="4" s="1"/>
  <c r="K108" i="4"/>
  <c r="N108" i="4" s="1"/>
  <c r="K104" i="4"/>
  <c r="N104" i="4" s="1"/>
  <c r="N5" i="4"/>
  <c r="O5" i="4"/>
  <c r="O48" i="4"/>
  <c r="N48" i="4"/>
  <c r="O47" i="4"/>
  <c r="N47" i="4"/>
  <c r="O46" i="4"/>
  <c r="N46" i="4"/>
  <c r="O45" i="4"/>
  <c r="N45" i="4"/>
  <c r="O44" i="4"/>
  <c r="N44" i="4"/>
  <c r="O43" i="4"/>
  <c r="N43" i="4"/>
  <c r="O42" i="4"/>
  <c r="N42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O26" i="4"/>
  <c r="N26" i="4"/>
  <c r="O25" i="4"/>
  <c r="N25" i="4"/>
  <c r="O24" i="4"/>
  <c r="N24" i="4"/>
  <c r="O23" i="4"/>
  <c r="N23" i="4"/>
  <c r="O22" i="4"/>
  <c r="N22" i="4"/>
  <c r="O21" i="4"/>
  <c r="N21" i="4"/>
  <c r="O20" i="4"/>
  <c r="N20" i="4"/>
  <c r="O19" i="4"/>
  <c r="N19" i="4"/>
  <c r="O18" i="4"/>
  <c r="N18" i="4"/>
  <c r="O17" i="4"/>
  <c r="N17" i="4"/>
  <c r="O16" i="4"/>
  <c r="N16" i="4"/>
  <c r="O15" i="4"/>
  <c r="N15" i="4"/>
  <c r="O14" i="4"/>
  <c r="N14" i="4"/>
  <c r="O13" i="4"/>
  <c r="N13" i="4"/>
  <c r="O12" i="4"/>
  <c r="N12" i="4"/>
  <c r="O11" i="4"/>
  <c r="N11" i="4"/>
  <c r="O10" i="4"/>
  <c r="N10" i="4"/>
  <c r="O9" i="4"/>
  <c r="N9" i="4"/>
  <c r="O8" i="4"/>
  <c r="N8" i="4"/>
  <c r="O7" i="4"/>
  <c r="N7" i="4"/>
  <c r="O6" i="4"/>
  <c r="N6" i="4"/>
  <c r="N4" i="4"/>
  <c r="O4" i="4"/>
  <c r="K397" i="4"/>
  <c r="K396" i="4"/>
  <c r="K200" i="4"/>
  <c r="L135" i="5" s="1"/>
  <c r="K201" i="4"/>
  <c r="L136" i="5" s="1"/>
  <c r="K208" i="4"/>
  <c r="L143" i="5" s="1"/>
  <c r="K209" i="4"/>
  <c r="L144" i="5" s="1"/>
  <c r="K113" i="4"/>
  <c r="L48" i="5" s="1"/>
  <c r="K188" i="4"/>
  <c r="K165" i="4"/>
  <c r="K147" i="4"/>
  <c r="K187" i="4"/>
  <c r="K164" i="4"/>
  <c r="K146" i="4"/>
  <c r="K186" i="4"/>
  <c r="K163" i="4"/>
  <c r="K181" i="4"/>
  <c r="K162" i="4"/>
  <c r="K148" i="4"/>
  <c r="K180" i="4"/>
  <c r="K179" i="4"/>
  <c r="K157" i="4"/>
  <c r="K189" i="4"/>
  <c r="K178" i="4"/>
  <c r="K156" i="4"/>
  <c r="K170" i="4"/>
  <c r="K155" i="4"/>
  <c r="K173" i="4"/>
  <c r="K154" i="4"/>
  <c r="K172" i="4"/>
  <c r="K171" i="4"/>
  <c r="K149" i="4"/>
  <c r="K119" i="4"/>
  <c r="K102" i="4"/>
  <c r="K115" i="4"/>
  <c r="K118" i="4"/>
  <c r="K99" i="4"/>
  <c r="K114" i="4"/>
  <c r="K111" i="4"/>
  <c r="K110" i="4"/>
  <c r="K107" i="4"/>
  <c r="K106" i="4"/>
  <c r="K103" i="4"/>
  <c r="K98" i="4"/>
  <c r="K86" i="4"/>
  <c r="K90" i="4"/>
  <c r="R4" i="4"/>
  <c r="O122" i="4"/>
  <c r="O123" i="4"/>
  <c r="O124" i="4"/>
  <c r="O125" i="4"/>
  <c r="K256" i="4"/>
  <c r="L191" i="5" s="1"/>
  <c r="K240" i="4"/>
  <c r="L175" i="5" s="1"/>
  <c r="K232" i="4"/>
  <c r="L167" i="5" s="1"/>
  <c r="K224" i="4"/>
  <c r="L159" i="5" s="1"/>
  <c r="K216" i="4"/>
  <c r="L151" i="5" s="1"/>
  <c r="K257" i="4"/>
  <c r="L192" i="5" s="1"/>
  <c r="K241" i="4"/>
  <c r="L176" i="5" s="1"/>
  <c r="K233" i="4"/>
  <c r="L168" i="5" s="1"/>
  <c r="K225" i="4"/>
  <c r="L160" i="5" s="1"/>
  <c r="K217" i="4"/>
  <c r="L152" i="5" s="1"/>
  <c r="K391" i="4"/>
  <c r="K389" i="4"/>
  <c r="K387" i="4"/>
  <c r="K392" i="4"/>
  <c r="K390" i="4"/>
  <c r="K388" i="4"/>
  <c r="AD4" i="4"/>
  <c r="K394" i="4"/>
  <c r="K95" i="4"/>
  <c r="K94" i="4"/>
  <c r="K87" i="4"/>
  <c r="K91" i="4"/>
  <c r="K250" i="4"/>
  <c r="K252" i="4"/>
  <c r="K245" i="4"/>
  <c r="K237" i="4"/>
  <c r="K235" i="4"/>
  <c r="K229" i="4"/>
  <c r="K227" i="4"/>
  <c r="K221" i="4"/>
  <c r="K219" i="4"/>
  <c r="K213" i="4"/>
  <c r="K205" i="4"/>
  <c r="K203" i="4"/>
  <c r="K197" i="4"/>
  <c r="K195" i="4"/>
  <c r="K131" i="4"/>
  <c r="K253" i="4"/>
  <c r="K251" i="4"/>
  <c r="K244" i="4"/>
  <c r="K236" i="4"/>
  <c r="K234" i="4"/>
  <c r="K228" i="4"/>
  <c r="K226" i="4"/>
  <c r="K220" i="4"/>
  <c r="K218" i="4"/>
  <c r="K212" i="4"/>
  <c r="K204" i="4"/>
  <c r="K202" i="4"/>
  <c r="K196" i="4"/>
  <c r="K194" i="4"/>
  <c r="K130" i="4"/>
  <c r="R8" i="4"/>
  <c r="O136" i="4"/>
  <c r="O132" i="4"/>
  <c r="O130" i="4"/>
  <c r="O128" i="4"/>
  <c r="O99" i="4"/>
  <c r="O97" i="4"/>
  <c r="O94" i="4"/>
  <c r="O91" i="4"/>
  <c r="O89" i="4"/>
  <c r="O86" i="4"/>
  <c r="O137" i="4"/>
  <c r="O131" i="4"/>
  <c r="O101" i="4"/>
  <c r="O95" i="4"/>
  <c r="O90" i="4"/>
  <c r="O133" i="4"/>
  <c r="O129" i="4"/>
  <c r="O98" i="4"/>
  <c r="O93" i="4"/>
  <c r="O87" i="4"/>
  <c r="R14" i="4"/>
  <c r="O211" i="4"/>
  <c r="O210" i="4"/>
  <c r="R6" i="4"/>
  <c r="O220" i="4"/>
  <c r="O145" i="4"/>
  <c r="O141" i="4"/>
  <c r="O139" i="4"/>
  <c r="O209" i="4"/>
  <c r="O208" i="4"/>
  <c r="O205" i="4"/>
  <c r="O204" i="4"/>
  <c r="O203" i="4"/>
  <c r="O202" i="4"/>
  <c r="O201" i="4"/>
  <c r="O200" i="4"/>
  <c r="O197" i="4"/>
  <c r="O196" i="4"/>
  <c r="O195" i="4"/>
  <c r="O194" i="4"/>
  <c r="O153" i="4"/>
  <c r="O152" i="4"/>
  <c r="O149" i="4"/>
  <c r="O148" i="4"/>
  <c r="O147" i="4"/>
  <c r="O146" i="4"/>
  <c r="O144" i="4"/>
  <c r="O140" i="4"/>
  <c r="O138" i="4"/>
  <c r="R46" i="4"/>
  <c r="O213" i="4"/>
  <c r="O212" i="4"/>
  <c r="O219" i="4"/>
  <c r="O218" i="4"/>
  <c r="O217" i="4"/>
  <c r="O216" i="4"/>
  <c r="R7" i="4"/>
  <c r="R5" i="4"/>
  <c r="H4" i="4"/>
  <c r="K139" i="4" s="1"/>
  <c r="K4" i="4"/>
  <c r="H47" i="4"/>
  <c r="AB47" i="4" s="1"/>
  <c r="H45" i="4"/>
  <c r="AA45" i="4" s="1"/>
  <c r="H43" i="4"/>
  <c r="AA43" i="4" s="1"/>
  <c r="H41" i="4"/>
  <c r="AA41" i="4" s="1"/>
  <c r="H39" i="4"/>
  <c r="AA39" i="4" s="1"/>
  <c r="H37" i="4"/>
  <c r="AA37" i="4" s="1"/>
  <c r="H35" i="4"/>
  <c r="AA35" i="4" s="1"/>
  <c r="H33" i="4"/>
  <c r="AA33" i="4" s="1"/>
  <c r="H31" i="4"/>
  <c r="AA31" i="4" s="1"/>
  <c r="H29" i="4"/>
  <c r="AA29" i="4" s="1"/>
  <c r="H27" i="4"/>
  <c r="AA27" i="4" s="1"/>
  <c r="H25" i="4"/>
  <c r="AA25" i="4" s="1"/>
  <c r="H23" i="4"/>
  <c r="AA23" i="4" s="1"/>
  <c r="H21" i="4"/>
  <c r="AB21" i="4" s="1"/>
  <c r="H19" i="4"/>
  <c r="AB19" i="4" s="1"/>
  <c r="H17" i="4"/>
  <c r="AB17" i="4" s="1"/>
  <c r="H15" i="4"/>
  <c r="AB15" i="4" s="1"/>
  <c r="H13" i="4"/>
  <c r="AB13" i="4" s="1"/>
  <c r="H11" i="4"/>
  <c r="AB11" i="4" s="1"/>
  <c r="H9" i="4"/>
  <c r="AB9" i="4" s="1"/>
  <c r="H7" i="4"/>
  <c r="AA7" i="4" s="1"/>
  <c r="K399" i="4"/>
  <c r="H5" i="4"/>
  <c r="Z5" i="4" s="1"/>
  <c r="H48" i="4"/>
  <c r="AB48" i="4" s="1"/>
  <c r="H46" i="4"/>
  <c r="AA46" i="4" s="1"/>
  <c r="H44" i="4"/>
  <c r="AA44" i="4" s="1"/>
  <c r="H42" i="4"/>
  <c r="AA42" i="4" s="1"/>
  <c r="H40" i="4"/>
  <c r="AA40" i="4" s="1"/>
  <c r="H38" i="4"/>
  <c r="AA38" i="4" s="1"/>
  <c r="H36" i="4"/>
  <c r="AA36" i="4" s="1"/>
  <c r="H34" i="4"/>
  <c r="AA34" i="4" s="1"/>
  <c r="H32" i="4"/>
  <c r="AA32" i="4" s="1"/>
  <c r="H30" i="4"/>
  <c r="AA30" i="4" s="1"/>
  <c r="H28" i="4"/>
  <c r="AA28" i="4" s="1"/>
  <c r="H26" i="4"/>
  <c r="AA26" i="4" s="1"/>
  <c r="H24" i="4"/>
  <c r="AA24" i="4" s="1"/>
  <c r="H22" i="4"/>
  <c r="AA22" i="4" s="1"/>
  <c r="H20" i="4"/>
  <c r="AB20" i="4" s="1"/>
  <c r="H18" i="4"/>
  <c r="AB18" i="4" s="1"/>
  <c r="H16" i="4"/>
  <c r="AB16" i="4" s="1"/>
  <c r="H14" i="4"/>
  <c r="AB14" i="4" s="1"/>
  <c r="H12" i="4"/>
  <c r="AB12" i="4" s="1"/>
  <c r="H10" i="4"/>
  <c r="AB10" i="4" s="1"/>
  <c r="H8" i="4"/>
  <c r="AB8" i="4" s="1"/>
  <c r="H6" i="4"/>
  <c r="AB6" i="4" s="1"/>
  <c r="C49" i="4"/>
  <c r="E49" i="4"/>
  <c r="AC49" i="4" s="1"/>
  <c r="D49" i="4"/>
  <c r="K122" i="4" l="1"/>
  <c r="K123" i="4"/>
  <c r="N399" i="4"/>
  <c r="N152" i="4"/>
  <c r="K138" i="4"/>
  <c r="N121" i="4"/>
  <c r="N193" i="4"/>
  <c r="N169" i="4"/>
  <c r="N101" i="4"/>
  <c r="N394" i="4"/>
  <c r="N105" i="4"/>
  <c r="N177" i="4"/>
  <c r="N160" i="4"/>
  <c r="N184" i="4"/>
  <c r="N109" i="4"/>
  <c r="N176" i="4"/>
  <c r="N185" i="4"/>
  <c r="N113" i="4"/>
  <c r="N117" i="4"/>
  <c r="N161" i="4"/>
  <c r="N192" i="4"/>
  <c r="N168" i="4"/>
  <c r="N204" i="4"/>
  <c r="N226" i="4"/>
  <c r="N244" i="4"/>
  <c r="N253" i="4"/>
  <c r="N131" i="4"/>
  <c r="N195" i="4"/>
  <c r="N203" i="4"/>
  <c r="N213" i="4"/>
  <c r="N221" i="4"/>
  <c r="N229" i="4"/>
  <c r="N237" i="4"/>
  <c r="N252" i="4"/>
  <c r="N91" i="4"/>
  <c r="N94" i="4"/>
  <c r="N388" i="4"/>
  <c r="N392" i="4"/>
  <c r="N389" i="4"/>
  <c r="N90" i="4"/>
  <c r="N98" i="4"/>
  <c r="N106" i="4"/>
  <c r="N110" i="4"/>
  <c r="N114" i="4"/>
  <c r="N118" i="4"/>
  <c r="N102" i="4"/>
  <c r="N172" i="4"/>
  <c r="N173" i="4"/>
  <c r="N170" i="4"/>
  <c r="N178" i="4"/>
  <c r="N157" i="4"/>
  <c r="N180" i="4"/>
  <c r="N162" i="4"/>
  <c r="N163" i="4"/>
  <c r="N187" i="4"/>
  <c r="N165" i="4"/>
  <c r="N196" i="4"/>
  <c r="N218" i="4"/>
  <c r="N234" i="4"/>
  <c r="N130" i="4"/>
  <c r="N194" i="4"/>
  <c r="N202" i="4"/>
  <c r="N212" i="4"/>
  <c r="N220" i="4"/>
  <c r="N228" i="4"/>
  <c r="N236" i="4"/>
  <c r="N251" i="4"/>
  <c r="N139" i="4"/>
  <c r="N197" i="4"/>
  <c r="N205" i="4"/>
  <c r="N219" i="4"/>
  <c r="N227" i="4"/>
  <c r="N235" i="4"/>
  <c r="N245" i="4"/>
  <c r="N250" i="4"/>
  <c r="N87" i="4"/>
  <c r="N95" i="4"/>
  <c r="N390" i="4"/>
  <c r="N387" i="4"/>
  <c r="N391" i="4"/>
  <c r="N153" i="4"/>
  <c r="N103" i="4"/>
  <c r="N107" i="4"/>
  <c r="N111" i="4"/>
  <c r="N99" i="4"/>
  <c r="N115" i="4"/>
  <c r="N119" i="4"/>
  <c r="N171" i="4"/>
  <c r="N154" i="4"/>
  <c r="N155" i="4"/>
  <c r="N156" i="4"/>
  <c r="N189" i="4"/>
  <c r="N179" i="4"/>
  <c r="N181" i="4"/>
  <c r="N186" i="4"/>
  <c r="N164" i="4"/>
  <c r="N188" i="4"/>
  <c r="N201" i="4"/>
  <c r="N217" i="4"/>
  <c r="N233" i="4"/>
  <c r="N257" i="4"/>
  <c r="N200" i="4"/>
  <c r="N216" i="4"/>
  <c r="N232" i="4"/>
  <c r="N256" i="4"/>
  <c r="N209" i="4"/>
  <c r="N225" i="4"/>
  <c r="N241" i="4"/>
  <c r="N208" i="4"/>
  <c r="N224" i="4"/>
  <c r="N240" i="4"/>
  <c r="N397" i="4"/>
  <c r="K141" i="4"/>
  <c r="AB4" i="4"/>
  <c r="K97" i="4" s="1"/>
  <c r="L32" i="5" s="1"/>
  <c r="N146" i="4"/>
  <c r="K210" i="4"/>
  <c r="K242" i="4"/>
  <c r="K395" i="4"/>
  <c r="K133" i="4"/>
  <c r="K132" i="4"/>
  <c r="K211" i="4"/>
  <c r="K243" i="4"/>
  <c r="K93" i="4"/>
  <c r="L28" i="5" s="1"/>
  <c r="K136" i="4"/>
  <c r="L71" i="5" s="1"/>
  <c r="K137" i="4"/>
  <c r="L72" i="5" s="1"/>
  <c r="K144" i="4"/>
  <c r="L79" i="5" s="1"/>
  <c r="K145" i="4"/>
  <c r="L80" i="5" s="1"/>
  <c r="K248" i="4"/>
  <c r="L183" i="5" s="1"/>
  <c r="K249" i="4"/>
  <c r="L184" i="5" s="1"/>
  <c r="K124" i="4"/>
  <c r="L21" i="5"/>
  <c r="N86" i="4"/>
  <c r="AB37" i="4"/>
  <c r="AB39" i="4"/>
  <c r="Z42" i="4"/>
  <c r="Z44" i="4"/>
  <c r="AB45" i="4"/>
  <c r="Z46" i="4"/>
  <c r="AA47" i="4"/>
  <c r="AA48" i="4"/>
  <c r="AA6" i="4"/>
  <c r="AA9" i="4"/>
  <c r="AA10" i="4"/>
  <c r="AA11" i="4"/>
  <c r="AA12" i="4"/>
  <c r="AA13" i="4"/>
  <c r="AA14" i="4"/>
  <c r="AA8" i="4"/>
  <c r="Z38" i="4"/>
  <c r="Z40" i="4"/>
  <c r="AB41" i="4"/>
  <c r="AB43" i="4"/>
  <c r="Z37" i="4"/>
  <c r="AB38" i="4"/>
  <c r="Z39" i="4"/>
  <c r="AB40" i="4"/>
  <c r="Z41" i="4"/>
  <c r="AB42" i="4"/>
  <c r="Z43" i="4"/>
  <c r="AB44" i="4"/>
  <c r="Z45" i="4"/>
  <c r="AB46" i="4"/>
  <c r="Z8" i="4"/>
  <c r="Z47" i="4"/>
  <c r="Z48" i="4"/>
  <c r="Z6" i="4"/>
  <c r="Z7" i="4"/>
  <c r="AB7" i="4"/>
  <c r="Z9" i="4"/>
  <c r="Z10" i="4"/>
  <c r="Z11" i="4"/>
  <c r="Z12" i="4"/>
  <c r="Z13" i="4"/>
  <c r="Z14" i="4"/>
  <c r="AA15" i="4"/>
  <c r="AA16" i="4"/>
  <c r="AA17" i="4"/>
  <c r="AA18" i="4"/>
  <c r="AA19" i="4"/>
  <c r="AA20" i="4"/>
  <c r="AA21" i="4"/>
  <c r="Z22" i="4"/>
  <c r="AB22" i="4"/>
  <c r="Z23" i="4"/>
  <c r="AB23" i="4"/>
  <c r="Z24" i="4"/>
  <c r="AB24" i="4"/>
  <c r="Z25" i="4"/>
  <c r="AB25" i="4"/>
  <c r="Z26" i="4"/>
  <c r="AB26" i="4"/>
  <c r="Z27" i="4"/>
  <c r="AB27" i="4"/>
  <c r="Z28" i="4"/>
  <c r="AB28" i="4"/>
  <c r="Z29" i="4"/>
  <c r="AB29" i="4"/>
  <c r="Z30" i="4"/>
  <c r="AB30" i="4"/>
  <c r="Z31" i="4"/>
  <c r="AB31" i="4"/>
  <c r="Z32" i="4"/>
  <c r="AB32" i="4"/>
  <c r="Z33" i="4"/>
  <c r="AB33" i="4"/>
  <c r="Z34" i="4"/>
  <c r="AB34" i="4"/>
  <c r="Z35" i="4"/>
  <c r="AB35" i="4"/>
  <c r="Z36" i="4"/>
  <c r="AB36" i="4"/>
  <c r="Z15" i="4"/>
  <c r="Z16" i="4"/>
  <c r="Z17" i="4"/>
  <c r="Z18" i="4"/>
  <c r="Z19" i="4"/>
  <c r="Z20" i="4"/>
  <c r="Z21" i="4"/>
  <c r="Z4" i="4"/>
  <c r="AD77" i="1"/>
  <c r="AD66" i="1"/>
  <c r="N123" i="4" l="1"/>
  <c r="N122" i="4"/>
  <c r="N138" i="4"/>
  <c r="N248" i="4"/>
  <c r="N144" i="4"/>
  <c r="N137" i="4"/>
  <c r="N93" i="4"/>
  <c r="N249" i="4"/>
  <c r="N145" i="4"/>
  <c r="N97" i="4"/>
  <c r="N136" i="4"/>
  <c r="N396" i="4"/>
  <c r="N395" i="4"/>
  <c r="N147" i="4"/>
  <c r="N148" i="4"/>
  <c r="N149" i="4"/>
  <c r="N211" i="4"/>
  <c r="N132" i="4"/>
  <c r="N133" i="4"/>
  <c r="N242" i="4"/>
  <c r="N210" i="4"/>
  <c r="N124" i="4"/>
  <c r="N243" i="4"/>
  <c r="N141" i="4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87" i="1"/>
  <c r="AI87" i="1" l="1"/>
  <c r="J77" i="1"/>
  <c r="J66" i="1"/>
  <c r="E18" i="5" l="1"/>
  <c r="E17" i="5"/>
  <c r="E16" i="5"/>
  <c r="M4" i="3" l="1"/>
  <c r="D79" i="7"/>
  <c r="C79" i="7"/>
  <c r="D78" i="7"/>
  <c r="C78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7" i="7"/>
  <c r="C67" i="7"/>
  <c r="D66" i="7"/>
  <c r="C66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C13" i="7" s="1" a="1"/>
  <c r="C13" i="7" s="1"/>
  <c r="E8" i="7"/>
  <c r="E5" i="7"/>
  <c r="E16" i="6"/>
  <c r="E15" i="6"/>
  <c r="E14" i="6"/>
  <c r="E13" i="6"/>
  <c r="D8" i="6"/>
  <c r="D5" i="6"/>
  <c r="E14" i="5"/>
  <c r="D12" i="5"/>
  <c r="K77" i="1"/>
  <c r="I77" i="1"/>
  <c r="E77" i="1"/>
  <c r="AI76" i="1"/>
  <c r="AI75" i="1"/>
  <c r="AI74" i="1"/>
  <c r="AI73" i="1"/>
  <c r="AI72" i="1"/>
  <c r="K66" i="1"/>
  <c r="I66" i="1"/>
  <c r="E66" i="1"/>
  <c r="D66" i="1"/>
  <c r="C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4" i="4" s="1"/>
  <c r="D7" i="6"/>
  <c r="AA4" i="4" l="1"/>
  <c r="K140" i="4"/>
  <c r="F67" i="7"/>
  <c r="AI36" i="4"/>
  <c r="F51" i="7"/>
  <c r="AI20" i="4"/>
  <c r="F75" i="7"/>
  <c r="AI44" i="4"/>
  <c r="F64" i="7"/>
  <c r="AI33" i="4"/>
  <c r="F76" i="7"/>
  <c r="AI45" i="4"/>
  <c r="F43" i="7"/>
  <c r="AI12" i="4"/>
  <c r="F63" i="7"/>
  <c r="AI32" i="4"/>
  <c r="F53" i="7"/>
  <c r="AI22" i="4"/>
  <c r="F52" i="7"/>
  <c r="AI21" i="4"/>
  <c r="F41" i="7"/>
  <c r="AI10" i="4"/>
  <c r="F65" i="7"/>
  <c r="AI34" i="4"/>
  <c r="F77" i="7"/>
  <c r="AI46" i="4"/>
  <c r="F42" i="7"/>
  <c r="AI11" i="4"/>
  <c r="F54" i="7"/>
  <c r="AI23" i="4"/>
  <c r="F66" i="7"/>
  <c r="AI35" i="4"/>
  <c r="F78" i="7"/>
  <c r="AI47" i="4"/>
  <c r="F55" i="7"/>
  <c r="AI24" i="4"/>
  <c r="F68" i="7"/>
  <c r="AI37" i="4"/>
  <c r="F44" i="7"/>
  <c r="AI13" i="4"/>
  <c r="F56" i="7"/>
  <c r="AI25" i="4"/>
  <c r="F57" i="7"/>
  <c r="AI26" i="4"/>
  <c r="F69" i="7"/>
  <c r="AI38" i="4"/>
  <c r="F46" i="7"/>
  <c r="AI15" i="4"/>
  <c r="F58" i="7"/>
  <c r="AI27" i="4"/>
  <c r="F70" i="7"/>
  <c r="AI39" i="4"/>
  <c r="F45" i="7"/>
  <c r="AI14" i="4"/>
  <c r="F47" i="7"/>
  <c r="AI16" i="4"/>
  <c r="F71" i="7"/>
  <c r="AI40" i="4"/>
  <c r="F48" i="7"/>
  <c r="AI17" i="4"/>
  <c r="F60" i="7"/>
  <c r="AI29" i="4"/>
  <c r="F72" i="7"/>
  <c r="AI41" i="4"/>
  <c r="F49" i="7"/>
  <c r="AI18" i="4"/>
  <c r="F61" i="7"/>
  <c r="AI30" i="4"/>
  <c r="F73" i="7"/>
  <c r="AI42" i="4"/>
  <c r="F79" i="7"/>
  <c r="AI48" i="4"/>
  <c r="F59" i="7"/>
  <c r="AI28" i="4"/>
  <c r="F50" i="7"/>
  <c r="AI19" i="4"/>
  <c r="F62" i="7"/>
  <c r="AI31" i="4"/>
  <c r="F74" i="7"/>
  <c r="AI43" i="4"/>
  <c r="F37" i="7"/>
  <c r="AI6" i="4"/>
  <c r="F39" i="7"/>
  <c r="AI8" i="4"/>
  <c r="F38" i="7"/>
  <c r="AI7" i="4"/>
  <c r="F40" i="7"/>
  <c r="AI9" i="4"/>
  <c r="F36" i="7"/>
  <c r="AI5" i="4"/>
  <c r="K125" i="4" s="1"/>
  <c r="B21" i="5"/>
  <c r="B70" i="5"/>
  <c r="B72" i="5"/>
  <c r="B74" i="5"/>
  <c r="B76" i="5"/>
  <c r="B78" i="5"/>
  <c r="B80" i="5"/>
  <c r="B82" i="5"/>
  <c r="B84" i="5"/>
  <c r="B86" i="5"/>
  <c r="B88" i="5"/>
  <c r="B90" i="5"/>
  <c r="B92" i="5"/>
  <c r="B94" i="5"/>
  <c r="B96" i="5"/>
  <c r="B98" i="5"/>
  <c r="B100" i="5"/>
  <c r="B102" i="5"/>
  <c r="B104" i="5"/>
  <c r="B106" i="5"/>
  <c r="B71" i="5"/>
  <c r="B73" i="5"/>
  <c r="B75" i="5"/>
  <c r="B77" i="5"/>
  <c r="B79" i="5"/>
  <c r="B81" i="5"/>
  <c r="B83" i="5"/>
  <c r="B85" i="5"/>
  <c r="B87" i="5"/>
  <c r="B89" i="5"/>
  <c r="B91" i="5"/>
  <c r="B93" i="5"/>
  <c r="B95" i="5"/>
  <c r="B97" i="5"/>
  <c r="B99" i="5"/>
  <c r="B101" i="5"/>
  <c r="B103" i="5"/>
  <c r="B105" i="5"/>
  <c r="B108" i="5"/>
  <c r="B112" i="5"/>
  <c r="B116" i="5"/>
  <c r="B120" i="5"/>
  <c r="B124" i="5"/>
  <c r="B128" i="5"/>
  <c r="B132" i="5"/>
  <c r="B136" i="5"/>
  <c r="B140" i="5"/>
  <c r="B144" i="5"/>
  <c r="B148" i="5"/>
  <c r="B152" i="5"/>
  <c r="B156" i="5"/>
  <c r="B160" i="5"/>
  <c r="B164" i="5"/>
  <c r="B168" i="5"/>
  <c r="B172" i="5"/>
  <c r="B176" i="5"/>
  <c r="B180" i="5"/>
  <c r="B184" i="5"/>
  <c r="B188" i="5"/>
  <c r="B192" i="5"/>
  <c r="B196" i="5"/>
  <c r="B109" i="5"/>
  <c r="B113" i="5"/>
  <c r="B117" i="5"/>
  <c r="B121" i="5"/>
  <c r="B125" i="5"/>
  <c r="B129" i="5"/>
  <c r="B133" i="5"/>
  <c r="B137" i="5"/>
  <c r="B141" i="5"/>
  <c r="B145" i="5"/>
  <c r="B149" i="5"/>
  <c r="B153" i="5"/>
  <c r="B157" i="5"/>
  <c r="B161" i="5"/>
  <c r="B165" i="5"/>
  <c r="B169" i="5"/>
  <c r="B173" i="5"/>
  <c r="B177" i="5"/>
  <c r="B181" i="5"/>
  <c r="B185" i="5"/>
  <c r="B193" i="5"/>
  <c r="B187" i="5"/>
  <c r="B195" i="5"/>
  <c r="B110" i="5"/>
  <c r="B114" i="5"/>
  <c r="B118" i="5"/>
  <c r="B122" i="5"/>
  <c r="B126" i="5"/>
  <c r="B130" i="5"/>
  <c r="B134" i="5"/>
  <c r="B138" i="5"/>
  <c r="B142" i="5"/>
  <c r="B146" i="5"/>
  <c r="B150" i="5"/>
  <c r="B154" i="5"/>
  <c r="B158" i="5"/>
  <c r="B162" i="5"/>
  <c r="B166" i="5"/>
  <c r="B170" i="5"/>
  <c r="B174" i="5"/>
  <c r="B178" i="5"/>
  <c r="B182" i="5"/>
  <c r="B186" i="5"/>
  <c r="B190" i="5"/>
  <c r="B194" i="5"/>
  <c r="B107" i="5"/>
  <c r="B111" i="5"/>
  <c r="B115" i="5"/>
  <c r="B119" i="5"/>
  <c r="B123" i="5"/>
  <c r="B127" i="5"/>
  <c r="B131" i="5"/>
  <c r="B135" i="5"/>
  <c r="B139" i="5"/>
  <c r="B143" i="5"/>
  <c r="B147" i="5"/>
  <c r="B151" i="5"/>
  <c r="B155" i="5"/>
  <c r="B159" i="5"/>
  <c r="B163" i="5"/>
  <c r="B167" i="5"/>
  <c r="B171" i="5"/>
  <c r="B175" i="5"/>
  <c r="B183" i="5"/>
  <c r="B197" i="5"/>
  <c r="B179" i="5"/>
  <c r="B189" i="5"/>
  <c r="B191" i="5"/>
  <c r="E17" i="6"/>
  <c r="B53" i="5"/>
  <c r="B26" i="5"/>
  <c r="B50" i="5"/>
  <c r="B45" i="5"/>
  <c r="B24" i="5"/>
  <c r="B27" i="5"/>
  <c r="B35" i="5"/>
  <c r="B43" i="5"/>
  <c r="B51" i="5"/>
  <c r="B59" i="5"/>
  <c r="B42" i="5"/>
  <c r="B67" i="5"/>
  <c r="B66" i="5"/>
  <c r="B69" i="5"/>
  <c r="B34" i="5"/>
  <c r="B37" i="5"/>
  <c r="B61" i="5"/>
  <c r="B32" i="5"/>
  <c r="B22" i="5"/>
  <c r="B30" i="5"/>
  <c r="B38" i="5"/>
  <c r="B46" i="5"/>
  <c r="B54" i="5"/>
  <c r="B65" i="5"/>
  <c r="B25" i="5"/>
  <c r="B33" i="5"/>
  <c r="B41" i="5"/>
  <c r="B49" i="5"/>
  <c r="B57" i="5"/>
  <c r="B62" i="5"/>
  <c r="B58" i="5"/>
  <c r="B63" i="5"/>
  <c r="B29" i="5"/>
  <c r="B40" i="5"/>
  <c r="B48" i="5"/>
  <c r="B56" i="5"/>
  <c r="B28" i="5"/>
  <c r="B36" i="5"/>
  <c r="B44" i="5"/>
  <c r="B52" i="5"/>
  <c r="B60" i="5"/>
  <c r="B64" i="5"/>
  <c r="B68" i="5"/>
  <c r="B23" i="5"/>
  <c r="B31" i="5"/>
  <c r="B39" i="5"/>
  <c r="B47" i="5"/>
  <c r="B55" i="5"/>
  <c r="AI77" i="1"/>
  <c r="AI78" i="1" s="1"/>
  <c r="AI68" i="1"/>
  <c r="AI51" i="4" s="1"/>
  <c r="E78" i="1"/>
  <c r="AI66" i="1"/>
  <c r="F35" i="7"/>
  <c r="E18" i="6"/>
  <c r="C14" i="7" a="1"/>
  <c r="C14" i="7" s="1"/>
  <c r="E7" i="7"/>
  <c r="N125" i="4" l="1"/>
  <c r="N140" i="4"/>
  <c r="F80" i="7"/>
  <c r="AB5" i="4"/>
  <c r="AA5" i="4"/>
  <c r="AI67" i="1"/>
  <c r="AI50" i="4" s="1"/>
  <c r="AI49" i="4"/>
  <c r="E24" i="6"/>
  <c r="E13" i="7"/>
  <c r="E14" i="7"/>
  <c r="C15" i="7" a="1"/>
  <c r="C15" i="7" s="1"/>
  <c r="E15" i="7" s="1"/>
  <c r="K89" i="4" l="1"/>
  <c r="L24" i="5" s="1"/>
  <c r="K129" i="4"/>
  <c r="L64" i="5" s="1"/>
  <c r="K128" i="4"/>
  <c r="L63" i="5" s="1"/>
  <c r="C16" i="7" a="1"/>
  <c r="C16" i="7" s="1"/>
  <c r="E16" i="7" s="1"/>
  <c r="N128" i="4" l="1"/>
  <c r="N89" i="4"/>
  <c r="N129" i="4"/>
  <c r="C17" i="7" a="1"/>
  <c r="C17" i="7" s="1"/>
  <c r="E17" i="7" s="1"/>
  <c r="L347" i="5" l="1"/>
  <c r="C18" i="7" a="1"/>
  <c r="C18" i="7" s="1"/>
  <c r="E18" i="7" s="1"/>
  <c r="L352" i="5" l="1"/>
  <c r="L345" i="5"/>
  <c r="AI89" i="1"/>
  <c r="AI91" i="1" s="1"/>
  <c r="C19" i="7" a="1"/>
  <c r="C19" i="7" s="1"/>
  <c r="E19" i="7" l="1"/>
  <c r="C20" i="7" a="1"/>
  <c r="C20" i="7" s="1"/>
  <c r="E20" i="7" l="1"/>
  <c r="C21" i="7" a="1"/>
  <c r="C21" i="7" s="1"/>
  <c r="E21" i="7" s="1"/>
  <c r="E22" i="7" l="1"/>
  <c r="L49" i="4" l="1"/>
  <c r="J49" i="4"/>
  <c r="M49" i="4"/>
</calcChain>
</file>

<file path=xl/sharedStrings.xml><?xml version="1.0" encoding="utf-8"?>
<sst xmlns="http://schemas.openxmlformats.org/spreadsheetml/2006/main" count="1660" uniqueCount="729">
  <si>
    <t>«УЛЬТРА»</t>
  </si>
  <si>
    <t xml:space="preserve">                 </t>
  </si>
  <si>
    <t>095 817 09 96 МТС, 093 539 99 06 Life</t>
  </si>
  <si>
    <t>№ п/п</t>
  </si>
  <si>
    <t>кол-во</t>
  </si>
  <si>
    <t>цена</t>
  </si>
  <si>
    <t>Итого</t>
  </si>
  <si>
    <t>Всего по заказу,грн</t>
  </si>
  <si>
    <t>%</t>
  </si>
  <si>
    <t>Предоплата,грн</t>
  </si>
  <si>
    <t>Остаток,грн</t>
  </si>
  <si>
    <t>Размеры, количество и тип покраски утверждаю ___________________________</t>
  </si>
  <si>
    <t>Заказ принял, к количеству и качеству претензий не имею__________________</t>
  </si>
  <si>
    <t>Всего деталей</t>
  </si>
  <si>
    <t>РАСЧЕТ ПО ЗАКАЗУ</t>
  </si>
  <si>
    <t>Дата</t>
  </si>
  <si>
    <t>e-mail</t>
  </si>
  <si>
    <t>Матовое покрытие, МДФ 16мм</t>
  </si>
  <si>
    <t>Матовое покрытие, МДФ 19мм</t>
  </si>
  <si>
    <t>Глянцевое покрытие, МДФ 16мм</t>
  </si>
  <si>
    <t>Глянцевое покрытие, МДФ 19мм</t>
  </si>
  <si>
    <t>грн/шт</t>
  </si>
  <si>
    <t>грн/м²</t>
  </si>
  <si>
    <t>Покрытие TS (Софт), МДФ 16мм</t>
  </si>
  <si>
    <t>Покрытие TS (Софт), МДФ 19мм</t>
  </si>
  <si>
    <t>Металлик / Спецэффект, МДФ 16мм</t>
  </si>
  <si>
    <t>Металлик / Спецэффект, МДФ 19мм</t>
  </si>
  <si>
    <t>Velvet (Резина), МДФ 16мм</t>
  </si>
  <si>
    <t>Velvet (Резина), МДФ 19мм</t>
  </si>
  <si>
    <t>грн/м.п.</t>
  </si>
  <si>
    <t>грн/шт.</t>
  </si>
  <si>
    <t>Rфасад TS (Софт), МДФ 16мм</t>
  </si>
  <si>
    <t>Rфасад TS (Софт), МДФ 19мм</t>
  </si>
  <si>
    <t>Rфасад Глянцевый, МДФ 19 мм</t>
  </si>
  <si>
    <t>Rфасад Глянцевый, МДФ 16 мм</t>
  </si>
  <si>
    <t>Rфасад Матовый, МДФ 19 мм</t>
  </si>
  <si>
    <t>Rфасад Матовый, МДФ 16 мм</t>
  </si>
  <si>
    <t>Rфасад Металлик / Спецэффект, МДФ 16мм</t>
  </si>
  <si>
    <t>Rфасад Металлик / Спецэффект, МДФ 19мм</t>
  </si>
  <si>
    <t>Rфасад Velvet (Резина), МДФ 16мм</t>
  </si>
  <si>
    <t>Rфасад Velvet (Резина), МДФ 19мм</t>
  </si>
  <si>
    <t>Тип покрытия</t>
  </si>
  <si>
    <t>R=1,5</t>
  </si>
  <si>
    <t>R=2</t>
  </si>
  <si>
    <t>R=3</t>
  </si>
  <si>
    <t>R=5</t>
  </si>
  <si>
    <t>R=10</t>
  </si>
  <si>
    <t>Мыло</t>
  </si>
  <si>
    <t>Софт(TS)</t>
  </si>
  <si>
    <t>Перл.зол.</t>
  </si>
  <si>
    <t>Ступ.</t>
  </si>
  <si>
    <t>e-mail: info@ultrafasad.com</t>
  </si>
  <si>
    <t>сайт:http://ultrafasad.com</t>
  </si>
  <si>
    <t>МДФ</t>
  </si>
  <si>
    <t>Сторона ручки J</t>
  </si>
  <si>
    <t>Верх</t>
  </si>
  <si>
    <t>Низ</t>
  </si>
  <si>
    <t>Право</t>
  </si>
  <si>
    <t>Ліво</t>
  </si>
  <si>
    <t>RAL</t>
  </si>
  <si>
    <t>NCS</t>
  </si>
  <si>
    <t>MOBIHEL</t>
  </si>
  <si>
    <t>AUTOCOLOR</t>
  </si>
  <si>
    <t>UNICOLOR</t>
  </si>
  <si>
    <t>фабрика меблевих фасадів</t>
  </si>
  <si>
    <t>068 775 28 77 КиЇвСтар</t>
  </si>
  <si>
    <t>серія</t>
  </si>
  <si>
    <t xml:space="preserve">Замовник (Компанія, ПІБ) </t>
  </si>
  <si>
    <t>Контактні телефони</t>
  </si>
  <si>
    <t>Місто</t>
  </si>
  <si>
    <t>ЗАМОВЛЕННЯ №</t>
  </si>
  <si>
    <t>( Номер замовлення заповнює "Ультра" )</t>
  </si>
  <si>
    <t>ВАЖЛИВО! Цей товар обміну та поверненню НЕ ПІДЛЯГАЄ.</t>
  </si>
  <si>
    <t>У стовпці "Примітка" вказуйте всі не стандартні роботи, а також Карнизи, Чверть 10х4, Грати та ін.</t>
  </si>
  <si>
    <t>При дозамовленні фарбованих фасадів попадання у колір НЕ ГАРАНТУЄТЬСЯ.</t>
  </si>
  <si>
    <t>Зміна розмірів, товщини, кольору, типу фарбування після погодження замовлення НЕМОЖЛИВО. Лише оформлення нового замовлення.</t>
  </si>
  <si>
    <t>Примітка</t>
  </si>
  <si>
    <t>Висота (розмір по вертикалі), мм</t>
  </si>
  <si>
    <t>Кіл-ть, шт</t>
  </si>
  <si>
    <t>Ширина (розмір по горизонталі), мм</t>
  </si>
  <si>
    <t>Товщина МДФ, мм</t>
  </si>
  <si>
    <t>Ручка тип "J" збоку</t>
  </si>
  <si>
    <t>Колір фарби за каталогом</t>
  </si>
  <si>
    <t>Спецефект</t>
  </si>
  <si>
    <t>Зворотня сторона</t>
  </si>
  <si>
    <t>Площа,м²</t>
  </si>
  <si>
    <t xml:space="preserve">Фрезерування кромки в мм </t>
  </si>
  <si>
    <t>Лицьова сторона</t>
  </si>
  <si>
    <t>J № 1</t>
  </si>
  <si>
    <t>J № 2</t>
  </si>
  <si>
    <t>J № 3</t>
  </si>
  <si>
    <t>J № 4</t>
  </si>
  <si>
    <t>J № 5</t>
  </si>
  <si>
    <t>J № 6</t>
  </si>
  <si>
    <t>J № 7</t>
  </si>
  <si>
    <t>J № 2L</t>
  </si>
  <si>
    <t>J № 3L</t>
  </si>
  <si>
    <t>J № 4L</t>
  </si>
  <si>
    <t>J № 5L</t>
  </si>
  <si>
    <t>J № 2R</t>
  </si>
  <si>
    <t>J № 3R</t>
  </si>
  <si>
    <t>J № 4R</t>
  </si>
  <si>
    <t>J № 5R</t>
  </si>
  <si>
    <t>Од.вим.</t>
  </si>
  <si>
    <t xml:space="preserve">Ручка </t>
  </si>
  <si>
    <t>45 град.</t>
  </si>
  <si>
    <t>м.п.</t>
  </si>
  <si>
    <t>шт.</t>
  </si>
  <si>
    <t>шт./м.п.</t>
  </si>
  <si>
    <t>грн.</t>
  </si>
  <si>
    <t>Плоские 10,16</t>
  </si>
  <si>
    <t>Плоские 19</t>
  </si>
  <si>
    <t>Фарбовані плоскі та радіусні меблеві фасади з МДФ</t>
  </si>
  <si>
    <t>Серія "COLOR"</t>
  </si>
  <si>
    <t>Ціну наведено у гривні за 1 м.кв</t>
  </si>
  <si>
    <t>Одностороннє покриття фасадів
(зворотний бік - білий ламінат)</t>
  </si>
  <si>
    <t>Плоскі 10, 16 мм</t>
  </si>
  <si>
    <t>Плоскі 19 мм</t>
  </si>
  <si>
    <t>Радиусні R284 мм, R300 мм; товщина МДФ 16 мм</t>
  </si>
  <si>
    <t>Радиусні R284 мм, R300 мм; товщина МДФ 19 мм</t>
  </si>
  <si>
    <t>Покриття TS (СОФТ)</t>
  </si>
  <si>
    <t>Примітки:</t>
  </si>
  <si>
    <t>1.</t>
  </si>
  <si>
    <t>Фасади виготовляються за будь-якими розмірами Замовника</t>
  </si>
  <si>
    <t>2.</t>
  </si>
  <si>
    <t>Замовлення приймаються ТІЛЬКИ на фірмових бланках</t>
  </si>
  <si>
    <t>3.</t>
  </si>
  <si>
    <t>Замовлення площею менше 1 м. кв оцінюється як 1 м. кв</t>
  </si>
  <si>
    <t>4.</t>
  </si>
  <si>
    <t>Вартість фарбування вітрини оцінюється по габаритній площі фасаду.</t>
  </si>
  <si>
    <t>5.</t>
  </si>
  <si>
    <t>Виготовлення радіусних фасадів R284 мм, R300 мм виконується висотою не більше 2000 мм.</t>
  </si>
  <si>
    <t>6.</t>
  </si>
  <si>
    <t>Термінове виготовлення замовлень +20% до вартості</t>
  </si>
  <si>
    <t>7.</t>
  </si>
  <si>
    <t>Термін виготовлення 10 робочих днів. Для фасадів з фотодруком – 15 робочих днів.</t>
  </si>
  <si>
    <t>Додаткові операції</t>
  </si>
  <si>
    <t>Фарбування другої сторони виробу</t>
  </si>
  <si>
    <t>Фарбування МДФ із матеріалу Замовника</t>
  </si>
  <si>
    <t>Виготовлення вітрини у плоскому фасаді, ширина поля 65 мм</t>
  </si>
  <si>
    <t>Виготовлення вітрини "шпрос" у плоскому фасаді, ширина перемичок 15мм</t>
  </si>
  <si>
    <t>Виготовлення вітрини в радіусному фасаді з шириною поля 65 мм</t>
  </si>
  <si>
    <t>Вибірка під скло, ширина 10 мм, глибина 4 мм</t>
  </si>
  <si>
    <t>Выборка под стекло, ширина 10 мм, глубина 4 мм на витрине "шпрос"</t>
  </si>
  <si>
    <t>Фрезерування під врізну ручку</t>
  </si>
  <si>
    <t>Фрезерування під євро ручку типу "45°" (тільки для плоских фасадів)</t>
  </si>
  <si>
    <t>Фрезерування під євро ручку типу "J" (тільки для плоских фасадів МДФ ≥ 19мм)</t>
  </si>
  <si>
    <t>Фрезерування під тупикову євро ручку типу "J"</t>
  </si>
  <si>
    <t>Фрезерування під євро ручку типу "J" на радіусних фасадах</t>
  </si>
  <si>
    <t>Фрезерування отвору під петлю 35 мм</t>
  </si>
  <si>
    <t>Пробне фарбування зразка (розмір 200 мм x 150 мм)</t>
  </si>
  <si>
    <t>Підбір кольору під зразок Замовника</t>
  </si>
  <si>
    <t>Потовщення плоскої деталі методом склеювання МДФ завтовшки шару +6 мм,
+8 мм, +10 мм, +16 мм, +19 мм</t>
  </si>
  <si>
    <t>Двоколірне фарбування (BiColor) з роздільним пазом</t>
  </si>
  <si>
    <t>Криволінійний різ, товщина деталі до 19 мм</t>
  </si>
  <si>
    <t>Кутове з'єднання тип А, тип Б (див. тех. інформацію на сайті)</t>
  </si>
  <si>
    <r>
      <t xml:space="preserve">Кутове з'єднання тип А, тип Б (див. тех. інформацію на сайті) </t>
    </r>
    <r>
      <rPr>
        <b/>
        <sz val="10"/>
        <rFont val="Arial"/>
        <family val="2"/>
        <charset val="204"/>
      </rPr>
      <t xml:space="preserve">в зборі (до 150мм) </t>
    </r>
  </si>
  <si>
    <t>Вставка шпонована в ручку "J" без вклеювання</t>
  </si>
  <si>
    <t>Фарбування ручки "J" в інший колір*</t>
  </si>
  <si>
    <t>Комплект фарби (100 грам)</t>
  </si>
  <si>
    <t>Коефіцієнт на погонаж***</t>
  </si>
  <si>
    <t>Патинування гладких деталей</t>
  </si>
  <si>
    <t>Тонування гладких деталей</t>
  </si>
  <si>
    <t>Каталоги RAL, NCS, Mobihel (металіки + перламутри), AUTOCOLOR (хамелеони + глітери) Ціна - договірна.</t>
  </si>
  <si>
    <r>
      <t xml:space="preserve">*-при фарбуванні ручки "J" в інший колір виконується додаткове нанесення шару лака, тому ціна покриття такого замовлення 
</t>
    </r>
    <r>
      <rPr>
        <b/>
        <sz val="12"/>
        <rFont val="Arial"/>
        <family val="2"/>
        <charset val="204"/>
      </rPr>
      <t>рахується як</t>
    </r>
    <r>
      <rPr>
        <b/>
        <sz val="10"/>
        <rFont val="Arial"/>
        <family val="2"/>
        <charset val="204"/>
      </rPr>
      <t xml:space="preserve"> ГЛЯНЕЦЬ !</t>
    </r>
  </si>
  <si>
    <r>
      <t xml:space="preserve">**-якщо середня кількість деталей в 1 м.кв перевищує 10 шт., вартість такого замовлення </t>
    </r>
    <r>
      <rPr>
        <b/>
        <sz val="12"/>
        <rFont val="Arial"/>
        <family val="2"/>
        <charset val="204"/>
      </rPr>
      <t>розраховується окремо !</t>
    </r>
  </si>
  <si>
    <t>***- якщо в замовленні є деталі розміром меньще ніж 100мм. Кількість більше 10шт.</t>
  </si>
  <si>
    <t>грн від вартості 1 м.кв</t>
  </si>
  <si>
    <t xml:space="preserve">&lt; 1000 мм / грн/шт </t>
  </si>
  <si>
    <t>&gt;1000 мм/ грн/шт</t>
  </si>
  <si>
    <t xml:space="preserve"> грн/шт</t>
  </si>
  <si>
    <t xml:space="preserve"> грн/м.пог</t>
  </si>
  <si>
    <t xml:space="preserve"> грн/отв</t>
  </si>
  <si>
    <t>Вартість потовщення одного шару за грн/м.кв</t>
  </si>
  <si>
    <t>до вартості за 1 м.кв</t>
  </si>
  <si>
    <t>грн за 1 м.кв</t>
  </si>
  <si>
    <t>Фарбування тильної сторони шириною 30 мм</t>
  </si>
  <si>
    <t>Фарбування тильної сторони шириною 50 мм</t>
  </si>
  <si>
    <t>Фарбування тильної сторони шириною 100 мм</t>
  </si>
  <si>
    <t>грн/м.пог</t>
  </si>
  <si>
    <t>Криволінійний різ, товщина деталі більше 19 мм</t>
  </si>
  <si>
    <t xml:space="preserve"> грн/шт (110 грн один срез 45°)</t>
  </si>
  <si>
    <t>РОЗМІРИ ДЕТАЛЕЙ (РАДІУСНІ)</t>
  </si>
  <si>
    <t>Важливо!!!</t>
  </si>
  <si>
    <t>Фасади, розташовані один над одним (в одну лінію), необхідно відзначити у примітці та надати креслення-схему!</t>
  </si>
  <si>
    <t>Білий базовий</t>
  </si>
  <si>
    <t>Ламінат</t>
  </si>
  <si>
    <t>Металік</t>
  </si>
  <si>
    <t>Зор.н.зол.</t>
  </si>
  <si>
    <t>Гума</t>
  </si>
  <si>
    <t>Матове</t>
  </si>
  <si>
    <t>Глянець</t>
  </si>
  <si>
    <t>2-х кол.х.</t>
  </si>
  <si>
    <t>3-х кол.х.</t>
  </si>
  <si>
    <t>Перл.ср.</t>
  </si>
  <si>
    <t>Зор.н.ср.</t>
  </si>
  <si>
    <t>Зор.н.різн.</t>
  </si>
  <si>
    <t>Перли</t>
  </si>
  <si>
    <t>склейка</t>
  </si>
  <si>
    <t>Пряма з чвертю</t>
  </si>
  <si>
    <t>Пряма без чверті</t>
  </si>
  <si>
    <t>Шпрос з чвертю</t>
  </si>
  <si>
    <t>Шпрос без чверті</t>
  </si>
  <si>
    <t>Вітрина</t>
  </si>
  <si>
    <t>Отвір під петлю (35 мм)</t>
  </si>
  <si>
    <t>Фарбування тільної сторони</t>
  </si>
  <si>
    <t>Ні</t>
  </si>
  <si>
    <t>Фарбування тильної сторони</t>
  </si>
  <si>
    <t>30 мм</t>
  </si>
  <si>
    <t>50 мм</t>
  </si>
  <si>
    <t>100 мм</t>
  </si>
  <si>
    <t>НІ</t>
  </si>
  <si>
    <t>Так</t>
  </si>
  <si>
    <t>Матове покриття до 16 мм</t>
  </si>
  <si>
    <t>Матове покриття 19 мм</t>
  </si>
  <si>
    <t>Софт покриття до 16 мм</t>
  </si>
  <si>
    <t>Софт покриття 19 мм</t>
  </si>
  <si>
    <t>Глянцеве покриття з поліруванням до 16 мм</t>
  </si>
  <si>
    <t>Глянцеве покриття з поліруванням 19 мм</t>
  </si>
  <si>
    <t>Спецефект до 16 мм</t>
  </si>
  <si>
    <t>Спецефект 19 мм</t>
  </si>
  <si>
    <t>Хамелеон 2-х кольоровий + глянець з поліруванням до 16 мм</t>
  </si>
  <si>
    <t>Хамелеон 2-х кольоровий + глянець з поліруванням 19 мм</t>
  </si>
  <si>
    <t>Хамелеон 3-х кольоровий + глянець з поліруванням до 16 мм</t>
  </si>
  <si>
    <t>Хамелеон 3-х кольоровий + глянець з поліруванням 19 мм</t>
  </si>
  <si>
    <t>Фотодрук + глянець з поліруванням до 16 мм</t>
  </si>
  <si>
    <t>Фотодрук + глянець з поліруванням 19 мм</t>
  </si>
  <si>
    <t>Кіл-ть</t>
  </si>
  <si>
    <t>Рахунок на виготовлення ФАРБОВАНИХ фасадів</t>
  </si>
  <si>
    <t>ЗАМОВЛЕННЯ №:</t>
  </si>
  <si>
    <t>Наёменування</t>
  </si>
  <si>
    <t>Сума, грн.</t>
  </si>
  <si>
    <t>Ціна за од.</t>
  </si>
  <si>
    <t>% знижки:</t>
  </si>
  <si>
    <t>Разом,грн.</t>
  </si>
  <si>
    <t>Размо зі знижкою, грн.</t>
  </si>
  <si>
    <t>Передплата, грн.</t>
  </si>
  <si>
    <t>Залишок,грн.</t>
  </si>
  <si>
    <t>Дата:</t>
  </si>
  <si>
    <t>Замовник (Компанія, ПІБ):</t>
  </si>
  <si>
    <t>Контактні телефони:</t>
  </si>
  <si>
    <t>Місто:</t>
  </si>
  <si>
    <t>e-mail:</t>
  </si>
  <si>
    <t xml:space="preserve">Матове покриття радіусний фасад 16 мм </t>
  </si>
  <si>
    <t>Матове покриття радіусний фасад 19 мм</t>
  </si>
  <si>
    <t>Софт покриття радіусний фасад 16 мм</t>
  </si>
  <si>
    <t>Софт покриття радіусний фасад 19 мм</t>
  </si>
  <si>
    <t>Глянцеве покриття з поліруванням радіусний фасад 16 мм</t>
  </si>
  <si>
    <t>Глянцеве покриття з поліруванням радіусний фасад 19 мм</t>
  </si>
  <si>
    <t>Спецефект радіусний фасад 16 мм</t>
  </si>
  <si>
    <t>Спецефект радіусний фасад 19 мм</t>
  </si>
  <si>
    <t>Хамелеон 2-х кольоровий + глянець з поліруванням радіусний фасад 16 мм</t>
  </si>
  <si>
    <t>Хамелеон 2-х кольоровий + глянець з поліруванням радіусний фасад 19 мм</t>
  </si>
  <si>
    <t>Хамелеон 3-х кольоровий + глянець з поліруванням радіусний фасад 16 мм</t>
  </si>
  <si>
    <t>Хамелеон 3-х кольоровий + глянець з поліруванням радіусний фасад 19 мм</t>
  </si>
  <si>
    <t>Вітрина плоский фасад</t>
  </si>
  <si>
    <t>Вітрина радіусний фасад</t>
  </si>
  <si>
    <t>Ручка тип "J" пряма</t>
  </si>
  <si>
    <t>Ручка тип "J" тупікова</t>
  </si>
  <si>
    <t>Ручка 45 град</t>
  </si>
  <si>
    <t>чотири</t>
  </si>
  <si>
    <t>шість</t>
  </si>
  <si>
    <t>вісім</t>
  </si>
  <si>
    <t>десять</t>
  </si>
  <si>
    <t>шістнадцять</t>
  </si>
  <si>
    <t>Дев'ятнадцять</t>
  </si>
  <si>
    <t>МДФ 4 мм</t>
  </si>
  <si>
    <t>МДФ 6 мм</t>
  </si>
  <si>
    <t>МДФ 8 мм</t>
  </si>
  <si>
    <t>МДФ 10 мм</t>
  </si>
  <si>
    <t>МДФ 16 мм</t>
  </si>
  <si>
    <t>МДФ 19 мм</t>
  </si>
  <si>
    <t>м.кв.</t>
  </si>
  <si>
    <t>Заявка на материал МДФ №:</t>
  </si>
  <si>
    <t>Заявка на краску №:</t>
  </si>
  <si>
    <t>Расход на 1 м.кв./л.</t>
  </si>
  <si>
    <t>л.</t>
  </si>
  <si>
    <t>Разом, л:</t>
  </si>
  <si>
    <t>Заявка на виготовлення ФРЕЗЕРОВАНИХ фасадів</t>
  </si>
  <si>
    <t>Одностороннє покриття фасадів (зворотня сторона - білий ламінат)</t>
  </si>
  <si>
    <t>Плоскі, 16 мм</t>
  </si>
  <si>
    <t>Плоскі, 19 мм</t>
  </si>
  <si>
    <t>Радіусні R284 мм, R300 мм; товщина МДФ 16 мм</t>
  </si>
  <si>
    <t>Радіусні R284 мм, R300 мм; товщина МДФ 19 мм</t>
  </si>
  <si>
    <t>Кат. 1</t>
  </si>
  <si>
    <t>Кат. 2</t>
  </si>
  <si>
    <t>Матове покриття з патиною</t>
  </si>
  <si>
    <t>Глянцеве покриття з патиною</t>
  </si>
  <si>
    <r>
      <t xml:space="preserve">Одностороннє покриття фасадів, фанеровані </t>
    </r>
    <r>
      <rPr>
        <b/>
        <sz val="11"/>
        <rFont val="Arial"/>
        <family val="2"/>
        <charset val="204"/>
      </rPr>
      <t>шпоном дуба</t>
    </r>
    <r>
      <rPr>
        <sz val="11"/>
        <rFont val="Arial"/>
        <family val="2"/>
        <charset val="204"/>
      </rPr>
      <t xml:space="preserve"> (зворотня сторона - білий ламінат)</t>
    </r>
  </si>
  <si>
    <t>Примечания:</t>
  </si>
  <si>
    <t>До категорії 1 відносяться такі номера моделей: №6, №7, №8, №9, №14, №20, №33, №34, №37</t>
  </si>
  <si>
    <t>До категорії 2 відносяться такі номера моделей: №1, №2, №3, №4, №5, №10, №11, №12, №13, №15, №16, №17, №18, №19, №21, №22,</t>
  </si>
  <si>
    <t>№23, №24, №25, №26, №27, №28, №29, №30, №31, №32, №35, №36, №38, №39, №40, №41, №42, №43, №44, №45, №46</t>
  </si>
  <si>
    <t>Фасади виготовляються по будь-яким розмірам Замовника</t>
  </si>
  <si>
    <t>Максимальний габарит прямої деталі 2500 мм х 1300 мм</t>
  </si>
  <si>
    <t>Максимальна висота фрезерованної радиусної деталі 1200 мм</t>
  </si>
  <si>
    <t>Сроки виготовлення від 21 робочого дня</t>
  </si>
  <si>
    <t>8.</t>
  </si>
  <si>
    <t>Замовлення площею менше за 1 м.кв оцінюється як 1 м.кв</t>
  </si>
  <si>
    <t>Фарбування зворотньої сторони виробу</t>
  </si>
  <si>
    <t>плюс 50% до вартості м.кв</t>
  </si>
  <si>
    <t>Фарбування фрезерованого МДФ з матеріалу Замовника</t>
  </si>
  <si>
    <t>мінус 600 грн від вартості м.кв</t>
  </si>
  <si>
    <t>Виготовлення вітрини у плоскому фасаді</t>
  </si>
  <si>
    <t>Виготовлення вітрини "шпрос" у плоскому фасаді</t>
  </si>
  <si>
    <t>Виготовлення вітрини у радіусному фасаді</t>
  </si>
  <si>
    <t>Вибірка під скло, ширина 10 мм, глибина 4 мм на вітрині "шпрос"</t>
  </si>
  <si>
    <t>Пробне фарбування зразка (размер 300 мм х 200 мм)</t>
  </si>
  <si>
    <t>Потовщення плоскої деталі методом склеювання МДФ товщиною шару +6 мм, +8 мм, +10 мм, +16 мм, +19 мм</t>
  </si>
  <si>
    <t>Двоколірне фарбування (BiColor)</t>
  </si>
  <si>
    <t>Вартість за 1 м.кв по узгодженню</t>
  </si>
  <si>
    <t>Криволінійна порізка, товщина деталі до 19 мм</t>
  </si>
  <si>
    <t>Фарбування тильної сторони шириною 30 мм, 50 мм, 100 мм</t>
  </si>
  <si>
    <t>Фарбування ручки J в інший колір (тільки на моделях №35, №36, №37, №38)</t>
  </si>
  <si>
    <t>17</t>
  </si>
  <si>
    <t>18</t>
  </si>
  <si>
    <t>Форма фасаду,Фрезерований за каталогом Ультра №… або Гладкий</t>
  </si>
  <si>
    <t>Патина Колір за каталогом "Ультра"</t>
  </si>
  <si>
    <t>№ фасадов</t>
  </si>
  <si>
    <t>кат.</t>
  </si>
  <si>
    <t>гладкий</t>
  </si>
  <si>
    <t>Покрыття</t>
  </si>
  <si>
    <t>Глянцевий DECAPE</t>
  </si>
  <si>
    <t>Покриття лицьової сторони: ШПОН Дуб,Фарба</t>
  </si>
  <si>
    <t>Категория фасадов</t>
  </si>
  <si>
    <t>Дуб тангент.</t>
  </si>
  <si>
    <t>Ясень радіал.</t>
  </si>
  <si>
    <t>Дуб радіал</t>
  </si>
  <si>
    <t>Матовий DECAPE</t>
  </si>
  <si>
    <t>Висота фасада до 1000 мм. грн/шт</t>
  </si>
  <si>
    <t>Понад 1000 мм,грн/шт</t>
  </si>
  <si>
    <t>грн/шт *в ціну враховано фарбування чверті з тільної сторони</t>
  </si>
  <si>
    <t xml:space="preserve">
700</t>
  </si>
  <si>
    <t>Вартість потовщення одного шару, грн/м.кв</t>
  </si>
  <si>
    <t xml:space="preserve"> грн/м.пог
Якщо потовщення </t>
  </si>
  <si>
    <t xml:space="preserve"> грн за 1 м.кв</t>
  </si>
  <si>
    <t xml:space="preserve"> до вартості за 1 м.кв</t>
  </si>
  <si>
    <t>Тонування+матовий лак (відкрита пора)</t>
  </si>
  <si>
    <t>Матова фарба відкрита пора</t>
  </si>
  <si>
    <t>Матова фарба + патина+матовий лак (відкрита пора)</t>
  </si>
  <si>
    <t>Тонування+патина+матовий лак (відкрита пора)</t>
  </si>
  <si>
    <t>Фарбування ручки тип "J" в інший колір</t>
  </si>
  <si>
    <t>Шпон назва</t>
  </si>
  <si>
    <t>Шпон Артикул</t>
  </si>
  <si>
    <t>Лицьова сторона (тактильний ефект)</t>
  </si>
  <si>
    <t>Зворотня сторона (тактильний ефект)</t>
  </si>
  <si>
    <t>Шпон       Дуб / Ясень</t>
  </si>
  <si>
    <t>Отвір під навіси (35 мм), шт</t>
  </si>
  <si>
    <t>Навіси по
стороні, мм</t>
  </si>
  <si>
    <t>Вітрина
(тип)</t>
  </si>
  <si>
    <t>Шпонована
вставка в
ручку j
(назва шпону)</t>
  </si>
  <si>
    <t>Цвет краски по каталогу: RAL, NCS
Тонировка
(морилка) по каталогу "Ультра"</t>
  </si>
  <si>
    <t>Зворотня сторона
(тип фарбування)</t>
  </si>
  <si>
    <t>Лицьова сторона
(тип фарбування)</t>
  </si>
  <si>
    <t>095 817 09 96 МТС</t>
  </si>
  <si>
    <t>Покриття лицьової сторони: ШПОН Дуб,
Фарба</t>
  </si>
  <si>
    <t>схема</t>
  </si>
  <si>
    <t>карніз</t>
  </si>
  <si>
    <t>балюстрада</t>
  </si>
  <si>
    <t>решітка</t>
  </si>
  <si>
    <t>пілястра</t>
  </si>
  <si>
    <t>Підбір</t>
  </si>
  <si>
    <t>Своя</t>
  </si>
  <si>
    <t>Схема</t>
  </si>
  <si>
    <t>Графіт</t>
  </si>
  <si>
    <t>Висота по 1-й стороні</t>
  </si>
  <si>
    <t>Висота по 2-й стороні</t>
  </si>
  <si>
    <t>Ширина по 1-й стороні</t>
  </si>
  <si>
    <t>Ширина по 2-й стороні</t>
  </si>
  <si>
    <t>РОЗМІРИ ДЕТАЛЕЙ (ПЛОСКІ)</t>
  </si>
  <si>
    <t>-</t>
  </si>
  <si>
    <t>м/п</t>
  </si>
  <si>
    <t>грн</t>
  </si>
  <si>
    <t>16мм</t>
  </si>
  <si>
    <t>19 мм</t>
  </si>
  <si>
    <t>Тильне покриття</t>
  </si>
  <si>
    <t>м²</t>
  </si>
  <si>
    <t>Вітрина без чверті, плоский фасад</t>
  </si>
  <si>
    <t>Вітрина з чвертю, плоский фасад</t>
  </si>
  <si>
    <t>Фарбування ручки J в інший колір</t>
  </si>
  <si>
    <t>Проверочные значения</t>
  </si>
  <si>
    <t>Матове покриття до 16 мм, гладкий фасад</t>
  </si>
  <si>
    <t>Матове покриття 19 мм, гладкий фасад</t>
  </si>
  <si>
    <t>Матове покриття другої сторони, гладкий фасад</t>
  </si>
  <si>
    <t>Софт покриття до 16 мм, гладкий фасад</t>
  </si>
  <si>
    <t>Софт покриття 19 мм, гладкий фасад</t>
  </si>
  <si>
    <t>Софт покриття другої сторони, гладкий фасад</t>
  </si>
  <si>
    <t>Глянцеве покриття з поліруванням до 16 мм, гладкий фасад</t>
  </si>
  <si>
    <t>Глянцеве покриття з поліруванням 19 мм, гладкий фасад</t>
  </si>
  <si>
    <t>Глянцеве покриття другої сторони, гладкий фасад</t>
  </si>
  <si>
    <t>Матове покриття до 16 мм, фрез. Фасад кат.1</t>
  </si>
  <si>
    <t>Матове покриття до 16 мм, фрез. Фасад кат.2</t>
  </si>
  <si>
    <t>Матове покриття 19 мм, фрез. Фасад кат.1</t>
  </si>
  <si>
    <t>Матове покриття 19 мм, фрез. Фасад кат.2</t>
  </si>
  <si>
    <t>Матове покриття другої сторони, фрез. Фасад кат.1</t>
  </si>
  <si>
    <t>Матове покриття другої сторони, фрез. Фасад кат.2</t>
  </si>
  <si>
    <t>Софт покриття до 16 мм, фрез. Фасад кат.1</t>
  </si>
  <si>
    <t>Софт покриття до 16 мм, фрез. Фасад кат.2</t>
  </si>
  <si>
    <t>Софт покриття 19 мм, фрез. Фасад кат.1</t>
  </si>
  <si>
    <t>Софт покриття 19 мм, фрез. Фасад кат.2</t>
  </si>
  <si>
    <t>Софт покриття другої сторони, фрез. Фасад кат.1</t>
  </si>
  <si>
    <t>Софт покриття другої сторони, фрез. Фасад кат.2</t>
  </si>
  <si>
    <t>Глянцеве покриття з поліруванням до 16 мм, фрез. Фасад кат.1</t>
  </si>
  <si>
    <t>Глянцеве покриття з поліруванням до 16 мм, фрез. Фасад кат.2</t>
  </si>
  <si>
    <t>Глянцеве покриття з поліруванням 19 мм, фрез. Фасад кат.1</t>
  </si>
  <si>
    <t>Глянцеве покриття з поліруванням 19 мм, фрез. Фасад кат.2</t>
  </si>
  <si>
    <t>Глянцеве покриття другої сторони, фрез. Фасад кат.1</t>
  </si>
  <si>
    <t>Глянцеве покриття другої сторони, фрез. Фасад кат.2</t>
  </si>
  <si>
    <t>Матове покриття з патиною 16 мм, фрез. фасад кат.1</t>
  </si>
  <si>
    <t>Матове покриття з патиною 16 мм, фрез. фасад кат.2</t>
  </si>
  <si>
    <t>Матове покриття з патиною 19 мм, фрез. фасад кат.1</t>
  </si>
  <si>
    <t>Матове покриття з патиною 19 мм, фрез. фасад кат.2</t>
  </si>
  <si>
    <t>Матове покриття з патиною покриття другої сторони кат.1</t>
  </si>
  <si>
    <t>Матове покриття з патиною покриття другої сторони кат.2</t>
  </si>
  <si>
    <t>Глянцеве покриття з патиною 16 мм, фрез. фасад кат.1</t>
  </si>
  <si>
    <t>Глянцеве покриття з патиною 16 мм, фрез. фасад кат.2</t>
  </si>
  <si>
    <t>Глянцеве покриття з патиною 19 мм, фрез. фасад кат.1</t>
  </si>
  <si>
    <t>Глянцеве покриття з патиною 19 мм, фрез. фасад кат.2</t>
  </si>
  <si>
    <t>Глянцеве покриття з патиною покриття другої сторони кат.1</t>
  </si>
  <si>
    <t>Глянцеве покриття з патиною покриття другої сторони кат.2</t>
  </si>
  <si>
    <t>Матовий DECAPE 16 мм, фрез. фасад кат.1</t>
  </si>
  <si>
    <t>Матовий DECAPE 16 мм, фрез. фасад кат.2</t>
  </si>
  <si>
    <t>Матовий DECAPE 19 мм, фрез. фасад кат.1</t>
  </si>
  <si>
    <t>Матовий DECAPE 19 мм, фрез. фасад кат.2</t>
  </si>
  <si>
    <t>Матовий DECAPE покриття другої сторони кат.1</t>
  </si>
  <si>
    <t>Матовий DECAPE покриття другої сторони кат.2</t>
  </si>
  <si>
    <t>Глянцевий DECAPE 16 мм, фрез. Фасад кат.1</t>
  </si>
  <si>
    <t>Глянцевий DECAPE 16 мм, фрез. Фасад кат.2</t>
  </si>
  <si>
    <t>Глянцевий DECAPE 19 мм, фрез. фасад кат.1</t>
  </si>
  <si>
    <t>Глянцевий DECAPE 19 мм, фрез. фасад кат.2</t>
  </si>
  <si>
    <t>Глянцевий DECAPE покриття другої сторони кат.1</t>
  </si>
  <si>
    <t>Глянцевий DECAPE покриття другої сторони кат.2</t>
  </si>
  <si>
    <t>Матова фарба + патина+матовий лак (відкрита пора), 16 мм кат.1</t>
  </si>
  <si>
    <t>Матова фарба + патина+матовий лак (відкрита пора), 16 мм кат.2</t>
  </si>
  <si>
    <t>Матова фарба + патина+матовий лак (відкрита пора), 19 мм кат.1</t>
  </si>
  <si>
    <t>Матова фарба + патина+матовий лак (відкрита пора), 19 мм кат.2</t>
  </si>
  <si>
    <t>Матова фарба + патина+матовий лак покриття другої сторони кат.1</t>
  </si>
  <si>
    <t>Матова фарба + патина+матовий лак покриття другої сторони кат.2</t>
  </si>
  <si>
    <t>Тонування+патина+матовий лак (відкрита пора), 16 мм кат.1</t>
  </si>
  <si>
    <t>Тонування+патина+матовий лак (відкрита пора), 16 мм кат.2</t>
  </si>
  <si>
    <t>Тонування+патина+матовий лак (відкрита пора), 19 мм кат.1</t>
  </si>
  <si>
    <t>Тонування+патина+матовий лак (відкрита пора), 19 мм кат.2</t>
  </si>
  <si>
    <t>Тонування+патина+матовий лак (відкрита пора) покриття другої сторони кат.1</t>
  </si>
  <si>
    <t>Тонування+патина+матовий лак (відкрита пора) покриття другої сторони кат.2</t>
  </si>
  <si>
    <t>Матова фарба відкрита пора, 16 мм кат.1</t>
  </si>
  <si>
    <t>Матова фарба відкрита пора, 16 мм кат.2</t>
  </si>
  <si>
    <t>Матова фарба відкрита пора, 19 мм кат.1</t>
  </si>
  <si>
    <t>Матова фарба відкрита пора, 19 мм кат.2</t>
  </si>
  <si>
    <t>Матова фарба відкрита пора, покриття другої сторони кат.1</t>
  </si>
  <si>
    <t>Матова фарба відкрита пора, покриття другої сторони кат.2</t>
  </si>
  <si>
    <t xml:space="preserve">Матове покриття радіусний фасад гладкий, 16 мм </t>
  </si>
  <si>
    <t>Матове покриття радіусний фасад гладкий, 19 мм</t>
  </si>
  <si>
    <t>Матове покриття другої сторони радіусний фасад  гладкий</t>
  </si>
  <si>
    <t>Софт покриття радіусний фасад  гладкий,16 мм</t>
  </si>
  <si>
    <t>Софт покриття радіусний фасад гладкий, 19 мм</t>
  </si>
  <si>
    <t>Софт покриття другої сторони радіусний фасад  гладкий</t>
  </si>
  <si>
    <t>Глянцеве покриття з поліруванням радіусний фасад гладкий, 16 мм</t>
  </si>
  <si>
    <t>Глянцеве покриття з поліруванням радіусний фасад гладкий, 19 мм</t>
  </si>
  <si>
    <t xml:space="preserve">Глянцеве покриття з поліруванням другої сторони радіусний фасад гладкий </t>
  </si>
  <si>
    <t>Матове покриття до 16 мм, радіусний фрез. фасад кат.1</t>
  </si>
  <si>
    <t>Матове покриття до 16 мм, радіусний фрез. фасад кат.2</t>
  </si>
  <si>
    <t>Матове покриття 19 мм,радіусний  фрез. фасад кат.1</t>
  </si>
  <si>
    <t>Матове покриття 19 мм,радіусний  фрез. фасад кат.2</t>
  </si>
  <si>
    <t>Матове покриття другої сторони, радіусний фрез. фасад кат.1</t>
  </si>
  <si>
    <t>Матове покриття другої сторони, радіусний фрез. фасад кат.2</t>
  </si>
  <si>
    <t>Софт покриття до 16 мм, радіусний фрез. фасад кат.1</t>
  </si>
  <si>
    <t>Софт покриття до 16 мм, радіусний фрез. фасад кат.2</t>
  </si>
  <si>
    <t>Софт покриття 19 мм, радіусний фрез. фасад кат.1</t>
  </si>
  <si>
    <t>Софт покриття 19 мм, радіусний фрез. фасад кат.2</t>
  </si>
  <si>
    <t>Софт покриття другої сторони, радіусний фрез. фасад кат.1</t>
  </si>
  <si>
    <t>Софт покриття другої сторони, радіусний фрез. фасад кат.2</t>
  </si>
  <si>
    <t>Глянцеве покриття з поліруванням до 16 мм, радіусний фрез. фасад кат.1</t>
  </si>
  <si>
    <t>Глянцеве покриття з поліруванням до 16 мм, радіусний фрез. фасад кат.2</t>
  </si>
  <si>
    <t>Глянцеве покриття з поліруванням 19 мм, радіусний фрез. фасад кат.1</t>
  </si>
  <si>
    <t>Глянцеве покриття з поліруванням 19 мм, радіусний фрез. фасад кат.2</t>
  </si>
  <si>
    <t>Глянцеве покриття другої сторони, радіусний фрез. фасад кат.1</t>
  </si>
  <si>
    <t>Глянцеве покриття другої сторони, радіусний фрез. фасад кат.2</t>
  </si>
  <si>
    <t>Матове покриття з патиною 16 мм, радіусний фрез. фасад кат.1</t>
  </si>
  <si>
    <t>Матове покриття з патиною 16 мм, радіусний фрез. фасад кат.2</t>
  </si>
  <si>
    <t>Матове покриття з патиною 19 мм, радіусний фрез. фасад кат.1</t>
  </si>
  <si>
    <t>Матове покриття з патиною 19 мм, радіусний фрез. фасад кат.2</t>
  </si>
  <si>
    <t>Матове покриття з патиною покриття другої сторони радіусний фрез. фасад   кат.1</t>
  </si>
  <si>
    <t>Матове покриття з патиною покриття другої сторони радіусний фрез. фасад   кат.2</t>
  </si>
  <si>
    <t>Глянцеве покриття з патиною 16 мм, радіусний фрез. фасад кат.1</t>
  </si>
  <si>
    <t>Глянцеве покриття з патиною 16 мм, радіусний фрез. фасад кат.2</t>
  </si>
  <si>
    <t>Глянцеве покриття з патиною 19 мм, радіусний фрез. фасад кат.1</t>
  </si>
  <si>
    <t>Глянцеве покриття з патиною 19 мм, радіусний фрез. фасад кат.2</t>
  </si>
  <si>
    <t>Глянцеве покриття з патиною покриття другої сторони радіусний фрез. Фасад кат.1</t>
  </si>
  <si>
    <t>Глянцеве покриття з патиною покриття другої сторони радіусний фрез. Фасад кат.2</t>
  </si>
  <si>
    <t>Матовий DECAPE 16 мм,радіусний фрез. фасад кат.1</t>
  </si>
  <si>
    <t>Матовий DECAPE 16 мм,радіусний фрез. фасад кат.2</t>
  </si>
  <si>
    <t>Матовий DECAPE 19 мм, радіусний фрез. фасад кат.1</t>
  </si>
  <si>
    <t>Матовий DECAPE 19 мм, радіусний фрез. фасад кат.2</t>
  </si>
  <si>
    <t>Матовий DECAPE покриття другої сторони радіусний фрез. Фасад кат.1</t>
  </si>
  <si>
    <t>Матовий DECAPE покриття другої сторони радіусний фрез. Фасад кат.2</t>
  </si>
  <si>
    <t>Глянцевий DECAPE 16 мм, радіусний фрез. фасад кат.1</t>
  </si>
  <si>
    <t>Глянцевий DECAPE 16 мм, радіусний фрез. фасад кат.2</t>
  </si>
  <si>
    <t>Глянцевий DECAPE 19 мм, радіусний фрез. фасад кат.1</t>
  </si>
  <si>
    <t>Глянцевий DECAPE 19 мм, радіусний фрез. фасад кат.2</t>
  </si>
  <si>
    <t>Глянцевий DECAPE покриття другої сторони радіусний фрез. Фасад кат.1</t>
  </si>
  <si>
    <t>Глянцевий DECAPE покриття другої сторони радіусний фрез. Фасад кат.2</t>
  </si>
  <si>
    <t>Матова фарба + патина+матовий лак (відкрита пора), 16 мм  радіусний фрез. Фасад кат.1</t>
  </si>
  <si>
    <t>Матова фарба + патина+матовий лак (відкрита пора), 16 мм  радіусний фрез. Фасад кат.2</t>
  </si>
  <si>
    <t>Матова фарба + патина+матовий лак (відкрита пора), 19 мм  радіусний фрез. Фасад кат.1</t>
  </si>
  <si>
    <t>Матова фарба + патина+матовий лак (відкрита пора), 19 мм  радіусний фрез. Фасад кат.2</t>
  </si>
  <si>
    <t>Матова фарба + патина+матовий лак покриття другої сторони радіусний фрез. Фасад кат.1</t>
  </si>
  <si>
    <t>Матова фарба + патина+матовий лак покриття другої сторони радіусний фрез. Фасад кат.2</t>
  </si>
  <si>
    <t>Матова фарба відкрита пора, 16 мм радіусний фрез. Фасад кат.1</t>
  </si>
  <si>
    <t>Матова фарба відкрита пора, 16 мм радіусний фрез. Фасад кат.2</t>
  </si>
  <si>
    <t>Матова фарба відкрита пора, 19 мм радіусний фрез. Фасад кат.1</t>
  </si>
  <si>
    <t>Матова фарба відкрита пора, 19 мм радіусний фрез. Фасад кат.2</t>
  </si>
  <si>
    <t>Матова фарба відкрита пора, покриття другої сторони радіусний фрез. Фасад кат.1</t>
  </si>
  <si>
    <t>Матова фарба відкрита пора, покриття другої сторони радіусний фрез. Фасад кат.2</t>
  </si>
  <si>
    <t>Тонування+патина+матовий лак (відкрита пора), 16 мм радіусний фрез. Фасад кат.1</t>
  </si>
  <si>
    <t>Тонування+патина+матовий лак (відкрита пора), 16 мм радіусний фрез. Фасад кат.2</t>
  </si>
  <si>
    <t>Тонування+патина+матовий лак (відкрита пора), 19 мм радіусний фрез. Фасад кат.1</t>
  </si>
  <si>
    <t>Тонування+патина+матовий лак (відкрита пора), 19 мм радіусний фрез. Фасад кат.2</t>
  </si>
  <si>
    <t>Тонування+патина+матовий лак (відкрита пора), покриття другої сторони радіусний фрез. фасад кат.1</t>
  </si>
  <si>
    <t>Тонування+патина+матовий лак (відкрита пора), покриття другої сторони радіусний фрез. фасад кат.2</t>
  </si>
  <si>
    <t>Вітрина шпрос без чверті, плоский фасад до 1000 мм</t>
  </si>
  <si>
    <t>Вітрина шпрос з чвертю, плоский фасад до 1000 мм</t>
  </si>
  <si>
    <t>Вітрина шпрос без чверті, плоский фасад понад 1000 мм</t>
  </si>
  <si>
    <t>Вітрина шпрос з чвертю, плоский фасад понад 1000 мм</t>
  </si>
  <si>
    <t>Вітрина радіусний фасад,</t>
  </si>
  <si>
    <t>Тонування+матовий лак (відкрита пора), 16 мм радіусний фрез. Фасад кат.1</t>
  </si>
  <si>
    <t>Тонування+матовий лак (відкрита пора), 16 мм радіусний фрез. Фасад кат.2</t>
  </si>
  <si>
    <t>Тонування+матовий лак (відкрита пора), 19 мм радіусний фрез. Фасад кат.1</t>
  </si>
  <si>
    <t>Тонування+матовий лак (відкрита пора), 19 мм радіусний фрез. Фасад кат.2</t>
  </si>
  <si>
    <t>Тонування+матовий лак (відкрита пора), покриття другої сторони радіусний фрез. фасад кат.1</t>
  </si>
  <si>
    <t>Тонування+матовий лак (відкрита пора), покриття другої сторони радіусний фрез. фасад кат.2</t>
  </si>
  <si>
    <t>Декор елементи</t>
  </si>
  <si>
    <t>своя кат.1</t>
  </si>
  <si>
    <t>своя кат.2</t>
  </si>
  <si>
    <t>Тонування+матовий лак (відкрита пора), 16 мм кат.1</t>
  </si>
  <si>
    <t>Тонування+матовий лак (відкрита пора), 16 мм кат.2</t>
  </si>
  <si>
    <t>Тонування+матовий лак (відкрита пора), 19 мм кат.1</t>
  </si>
  <si>
    <t>Тонування+матовий лак (відкрита пора), 19 мм кат.2</t>
  </si>
  <si>
    <t>Тонування+матовий лак (відкрита пора), покриття другої сторони кат.1</t>
  </si>
  <si>
    <t>Тонування+матовий лак (відкрита пора), покриття другої сторони кат.2</t>
  </si>
  <si>
    <t>U</t>
  </si>
  <si>
    <t>L</t>
  </si>
  <si>
    <t>AL</t>
  </si>
  <si>
    <t>V</t>
  </si>
  <si>
    <t xml:space="preserve">Матовий  </t>
  </si>
  <si>
    <t>Глянець (фарба + глянцевий лак з поліруванням)</t>
  </si>
  <si>
    <t>Спецефект Перламутр срібло/золото + глянцевий лак з поліруванням</t>
  </si>
  <si>
    <t>Спецефект  Гума (антивандальний)</t>
  </si>
  <si>
    <t>Спецефект Автометалік Mobihel + глянцевий лак з поліруванням</t>
  </si>
  <si>
    <t>Спецефект Рідке скло (антивандальний)</t>
  </si>
  <si>
    <t>Спецефект Перли, Графіт</t>
  </si>
  <si>
    <t>Спецефект Зоряне небо+ глянцевий лак з поліруванням</t>
  </si>
  <si>
    <t>Хамелеон 2-х кольоровий + глянцевий лак з поліруванням</t>
  </si>
  <si>
    <t>Хамелеон 3-х кольоровий + глянцевий лак з поліруванням</t>
  </si>
  <si>
    <t>Фотодрук + глянцевий лак з поліруванням</t>
  </si>
  <si>
    <t xml:space="preserve">450
</t>
  </si>
  <si>
    <t>Спецефект Перламутр срібло/золото + глянцевий лак з поліруванням до 16 мм, гладкий фасад</t>
  </si>
  <si>
    <t>Спецефект Перламутр срібло/золото + глянцевий лак з поліруванням 19 мм, гладкий фасад</t>
  </si>
  <si>
    <t>Спецефект Перламутр срібло/золото + глянцевий лак з поліруванням, покриття другої сторони, гладкий фасад</t>
  </si>
  <si>
    <t>Спецефект Гума (антивандальний) до 16 мм, гладкий фасад</t>
  </si>
  <si>
    <t>Спецефект Гума (антивандальний) 19 мм, гладкий фасад</t>
  </si>
  <si>
    <t>Спецефект Гума (антивандальний), покриття другої сторони, гладкий фасад</t>
  </si>
  <si>
    <t>Спецефект Автометалік Mobihel + глянцевий лак з поліруванням до 16 мм, гладкий фасад</t>
  </si>
  <si>
    <t>Спецефект Автометалік Mobihel + глянцевий лак з поліруванням 19 мм, гладкий фасад</t>
  </si>
  <si>
    <t>Спецефект Автометалік Mobihel + глянцевий лак з поліруванням, покриття другої сторони, гладкий фасад</t>
  </si>
  <si>
    <t>Спецефект Рідке скло (антивандальний) до 16 мм, гладкий фасад</t>
  </si>
  <si>
    <t>Спецефект Рідке скло (антивандальний) 19 мм, гладкий фасад</t>
  </si>
  <si>
    <t>Спецефект Рідке скло (антивандальний), покриття другої сторони, гладкий фасад</t>
  </si>
  <si>
    <t>Спецефект Перли, Графіт до 16 мм, гладкий фасад</t>
  </si>
  <si>
    <t>Спецефект Перли, Графіт 19 мм, гладкий фасад</t>
  </si>
  <si>
    <t>Спецефект Перли, Графіт, покриття другої сторони, гладкий фасад</t>
  </si>
  <si>
    <t>Спецефект Зоряне небо+ глянцевий лак з поліруванням до 16 мм, гладкий фасад</t>
  </si>
  <si>
    <t>Спецефект Зоряне небо+ глянцевий лак з поліруванням 19 мм, гладкий фасад</t>
  </si>
  <si>
    <t>Спецефект Зоряне небо+ глянцевий лак з поліруванням, покриття другої сторони, гладкий фасад</t>
  </si>
  <si>
    <t>Спецефект Перламутр срібло/золото + глянцевий лак з поліруванням, радіусний фасад гладкий, 16 мм</t>
  </si>
  <si>
    <t>Спецефект Перламутр срібло/золото + глянцевий лак з поліруванням, радіусний фасад гладкий, 19 мм</t>
  </si>
  <si>
    <t>Спецефект Перламутр срібло/золото + глянцевий лак з поліруванням, покриття другої сторони, , радіусний фасад гладкий</t>
  </si>
  <si>
    <t>Спецефект Гума (антивандальний) , радіусний фасад гладкий, 16 мм</t>
  </si>
  <si>
    <t>Спецефект Гума (антивандальний), радіусний фасад гладкий, 19 мм</t>
  </si>
  <si>
    <t>Спецефект Гума (антивандальний), покриття другої сторони, радіусний фасад гладкий, 16 мм</t>
  </si>
  <si>
    <t>Спецефект Автометалік Mobihel + глянцевий лак з поліруванням, радіусний фасад гладкий, 16 мм</t>
  </si>
  <si>
    <t>Спецефект Автометалік Mobihel + глянцевий лак з поліруванням, радіусний фасад гладкий, 19 мм</t>
  </si>
  <si>
    <t>Спецефект Автометалік Mobihel + глянцевий лак з поліруванням, покриття другої сторони, радіусний фасад гладкий</t>
  </si>
  <si>
    <t>Спецефект Рідке скло (антивандальний), радіусний фасад гладкий, 16 мм</t>
  </si>
  <si>
    <t>Спецефект Рідке скло (антивандальний), радіусний фасад гладкий, 19 мм</t>
  </si>
  <si>
    <t>Спецефект Рідке скло (антивандальний), покриття другої сторони, радіусний фасад гладкий</t>
  </si>
  <si>
    <t>Спецефект Перли, Графіт, радіусний фасад гладкий, 16 мм</t>
  </si>
  <si>
    <t>Спецефект Перли, Графіт, радіусний фасад гладкий, 19 мм</t>
  </si>
  <si>
    <t>Спецефект Перли, Графіт, покриття другої сторони, радіусний фасад гладкий</t>
  </si>
  <si>
    <t>Спецефект Зоряне небо+ глянцевий лак з поліруванням, радіусний фасад гладкий, 16 мм</t>
  </si>
  <si>
    <t>Спецефект Зоряне небо+ глянцевий лак з поліруванням, радіусний фасад гладкий, 19 мм</t>
  </si>
  <si>
    <t>Спецефект Зоряне небо+ глянцевий лак з поліруванням, покриття другої сторони, гладкий фасад, радіусний фасад гладкий</t>
  </si>
  <si>
    <t>Спецефект Перламутр срібло/золото до 16 мм, фрез. фасад кат.1</t>
  </si>
  <si>
    <t>Спецефект Перламутр срібло/золото до 16 мм, фрез. фасад кат.2</t>
  </si>
  <si>
    <t>Спецефект Перламутр срібло/золото 19 мм, фрез. фасад кат.1</t>
  </si>
  <si>
    <t>Спецефект Перламутр срібло/золото 19 мм, фрез. фасад кат.2</t>
  </si>
  <si>
    <t>Спецефект Перламутр срібло/золото покриття другої сторони, фрез. фасад кат.1</t>
  </si>
  <si>
    <t>Спецефект Перламутр срібло/золото покриття другої сторони, фрез. фасад кат.2</t>
  </si>
  <si>
    <t>Спецефект Гума (антивандальний) до 16 мм, фрез. фасад кат.1</t>
  </si>
  <si>
    <t>Спецефект Гума (антивандальний) до 16 мм, фрез. фасад кат.2</t>
  </si>
  <si>
    <t>Спецефект Гума (антивандальний) 19 мм, фрез. фасад кат.1</t>
  </si>
  <si>
    <t>Спецефект Гума (антивандальний) 19 мм, фрез. фасад кат.2</t>
  </si>
  <si>
    <t>Спецефект Гума (антивандальний) покриття другої сторони, фрез. фасад кат.1</t>
  </si>
  <si>
    <t>Спецефект Гума (антивандальний) покриття другої сторони, фрез. фасад кат.2</t>
  </si>
  <si>
    <t>Спецефект Автометалік Mobihel до 16 мм, фрез. фасад кат.1</t>
  </si>
  <si>
    <t>Спецефект Автометалік Mobihel до 16 мм, фрез. фасад кат.2</t>
  </si>
  <si>
    <t>Спецефект Автометалік Mobihel 19 мм, фрез. фасад кат.1</t>
  </si>
  <si>
    <t>Спецефект Автометалік Mobihel 19 мм, фрез. фасад кат.2</t>
  </si>
  <si>
    <t>Спецефект Автометалік Mobihel покриття другої сторони, фрез. фасад кат.1</t>
  </si>
  <si>
    <t>Спецефект Автометалік Mobihel покриття другої сторони, фрез. фасад кат.2</t>
  </si>
  <si>
    <t>Спецефект Рідке скло (антивандальний) до 16 мм, фрез. фасад кат.1</t>
  </si>
  <si>
    <t>Спецефект Рідке скло (антивандальний)до 16 мм, фрез. фасад кат.2</t>
  </si>
  <si>
    <t>Спецефект Рідке скло (антивандальний) 19 мм, фрез. фасад кат.1</t>
  </si>
  <si>
    <t>Спецефект Рідке скло (антивандальний) 19 мм, фрез. фасад кат.2</t>
  </si>
  <si>
    <t>Спецефект Рідке скло (антивандальний) покриття другої сторони, фрез. фасад кат.1</t>
  </si>
  <si>
    <t>Спецефект Рідке скло (антивандальний) покриття другої сторони, фрез. фасад кат.2</t>
  </si>
  <si>
    <t>Спецефект Перли, Графіт до 16 мм, фрез. фасад кат.1</t>
  </si>
  <si>
    <t>Спецефект Перли, Графіт до 16 мм, фрез. фасад кат.2</t>
  </si>
  <si>
    <t>Спецефект Перли, Графіт 19 мм, фрез. фасад кат.1</t>
  </si>
  <si>
    <t>Спецефект Перли, Графіт 19 мм, фрез. фасад кат.2</t>
  </si>
  <si>
    <t>Спецефект Перли, Графіт покриття другої сторони, фрез. фасад кат.1</t>
  </si>
  <si>
    <t>Спецефект Перли, Графіт покриття другої сторони, фрез. фасад кат.2</t>
  </si>
  <si>
    <t>Спецефект Зоряне небо до 16 мм, фрез. фасад кат.1</t>
  </si>
  <si>
    <t>Спецефект Зоряне небо до 16 мм, фрез. фасад кат.2</t>
  </si>
  <si>
    <t>Спецефект Зоряне небо 19 мм, фрез. фасад кат.1</t>
  </si>
  <si>
    <t>Спецефект Зоряне небо 19 мм, фрез. фасад кат.2</t>
  </si>
  <si>
    <t>Спецефект Зоряне небо покриття другої сторони, фрез. фасад кат.1</t>
  </si>
  <si>
    <t>Спецефект Зоряне небо покриття другої сторони, фрез. фасад кат.2</t>
  </si>
  <si>
    <t xml:space="preserve"> </t>
  </si>
  <si>
    <t>Спецефект Перламутр срібло/золото до 16 мм, радіусний фрез. фасад кат.1</t>
  </si>
  <si>
    <t>Спецефект Перламутр срібло/золото до 16 мм, радіусний фрез. фасад кат.2</t>
  </si>
  <si>
    <t>Спецефект Перламутр срібло/золото 19 мм, радіусний фрез. фасад кат.1</t>
  </si>
  <si>
    <t>Спецефект Перламутр срібло/золото 19 мм, радіусний фрез. фасад кат.2</t>
  </si>
  <si>
    <t>Спецефект Перламутр срібло/золото покриття другої сторони, радіусний фрез. фасад кат.1</t>
  </si>
  <si>
    <t>Спецефект Перламутр срібло/золото покриття другої сторони, радіусний фрез. фасад кат.2</t>
  </si>
  <si>
    <t>Спецефект Автометалік Mobihel до 16 мм, радіусний фрез. фасад кат.1</t>
  </si>
  <si>
    <t>Спецефект Автометалік Mobihel до 16 мм, радіусний фрез. фасад кат.2</t>
  </si>
  <si>
    <t>Спецефект Автометалік Mobihel 19 мм, радіусний фрез. фасад кат.1</t>
  </si>
  <si>
    <t>Спецефект Автометалік Mobihel 19 мм, радіусний фрез. фасад кат.2</t>
  </si>
  <si>
    <t>Спецефект Автометалік Mobihel покриття другої сторони, радіусний фрез. фасад кат.1</t>
  </si>
  <si>
    <t>Спецефект Автометалік Mobihel покриття другої сторони, радіусний фрез. фасад кат.2</t>
  </si>
  <si>
    <t>Спецефект Рідке скло (антивандальний) до 16 мм, радіусний фрез. фасад кат.1</t>
  </si>
  <si>
    <t>Спецефект Рідке скло (антивандальний) до 16 мм, радіусний фрез. фасад кат.2</t>
  </si>
  <si>
    <t>Спецефект Рідке скло (антивандальний) 19 мм, радіусний фрез. фасад кат.1</t>
  </si>
  <si>
    <t>Спецефект Рідке скло (антивандальний) 19 мм, радіусний фрез. фасад кат.2</t>
  </si>
  <si>
    <t>Спецефект Рідке скло (антивандальний) покриття другої сторони, радіусний фрез. фасад кат.1</t>
  </si>
  <si>
    <t>Спецефект Рідке скло (антивандальний) покриття другої сторони, радіусний фрез. фасад кат.2</t>
  </si>
  <si>
    <t>Спецефект Перли, Графіт до 16 мм, радіусний фрез. фасад кат.1</t>
  </si>
  <si>
    <t>Спецефект Перли, Графіт до 16 мм, радіусний фрез. фасад кат.2</t>
  </si>
  <si>
    <t>Спецефект Перли, Графіт 19 мм, радіусний фрез. фасад кат.1</t>
  </si>
  <si>
    <t>Спецефект Перли, Графіт 19 мм, радіусний фрез. фасад кат.2</t>
  </si>
  <si>
    <t>Спецефект Перли, Графіт покриття другої сторони, радіусний фрез. фасад кат.1</t>
  </si>
  <si>
    <t>Спецефект Перли, Графіт покриття другої сторони, радіусний фрез. фасад кат.2</t>
  </si>
  <si>
    <t>Матовий "DECAPE"</t>
  </si>
  <si>
    <t>Глянцевий "DECAPE"</t>
  </si>
  <si>
    <t>Спецефект Гума (антивандальний) до 16 мм, радіусний фрез. фасад кат.1</t>
  </si>
  <si>
    <t>Спецефект Гума (антивандальний)до 16 мм, радіусний фрез. фасад кат.2</t>
  </si>
  <si>
    <t>Спецефект Гума (антивандальний) 19 мм, радіусний фрез. фасад кат.1</t>
  </si>
  <si>
    <t>Спецефект Гума (антивандальний) 19 мм, радіусний фрез. фасад кат.2</t>
  </si>
  <si>
    <t>Спецефект Гума (антивандальний) покриття другої сторони, радіусний фрез. фасад кат.1</t>
  </si>
  <si>
    <t>Спецефект Гума (антивандальний) покриття другої сторони, радіусний фрез. фасад кат.2</t>
  </si>
  <si>
    <t>Спецефект Зоряне небо до 16 мм, радіусний фрез. фасад кат.1</t>
  </si>
  <si>
    <t>Спецефект Зоряне небо до 16 мм, радіусний фрез. фасад кат.2</t>
  </si>
  <si>
    <t>Спецефект Зоряне небо 19 мм, радіусний фрез. фасад кат.1</t>
  </si>
  <si>
    <t>Спецефект Зоряне небо 19 мм, радіусний фрез. фасад кат.2</t>
  </si>
  <si>
    <t>Спецефект Зоряне небо покриття другої сторони, радіусний фрез. фасад кат.1</t>
  </si>
  <si>
    <t>Спецефект Зоряне небо покриття другої сторони, радіусний фрез. фасад кат.2</t>
  </si>
  <si>
    <t>Рідке скло</t>
  </si>
  <si>
    <t>AJ № 2</t>
  </si>
  <si>
    <t>AJ № 3</t>
  </si>
  <si>
    <t>AJ № 4</t>
  </si>
  <si>
    <t>AJ № 5</t>
  </si>
  <si>
    <t>AJ № 2L</t>
  </si>
  <si>
    <t>AJ № 3L</t>
  </si>
  <si>
    <t>AJ № 4L</t>
  </si>
  <si>
    <t>AJ № 5L</t>
  </si>
  <si>
    <t>AJ № 2R</t>
  </si>
  <si>
    <t>AJ № 3R</t>
  </si>
  <si>
    <t>AJ № 4R</t>
  </si>
  <si>
    <t>AJ № 5R</t>
  </si>
  <si>
    <t xml:space="preserve">Матовий </t>
  </si>
  <si>
    <t>Ручка тип "J" в радіусному фасаді</t>
  </si>
  <si>
    <t>Найменування</t>
  </si>
  <si>
    <t>CLASSIC</t>
  </si>
  <si>
    <t>Дата прийому</t>
  </si>
  <si>
    <t>Дата виготовлення*</t>
  </si>
  <si>
    <t>* Є орієнтовною, може коливатися 2-3 робочих дні, не включаючи доставку.</t>
  </si>
  <si>
    <t>Матове покриття 22 мм, гладкий фасад</t>
  </si>
  <si>
    <t>Софт покриття 22 мм, гладкий фасад</t>
  </si>
  <si>
    <t>Глянцеве покриття з поліруванням 22 мм, гладкий фасад</t>
  </si>
  <si>
    <t>Спецефект Перламутр срібло/золото + глянцевий лак з поліруванням 22 мм, гладкий фасад</t>
  </si>
  <si>
    <t>Спецефект Гума (антивандальний) 22 мм, гладкий фасад</t>
  </si>
  <si>
    <t>Спецефект Автометалік Mobihel + глянцевий лак з поліруванням 22 мм, гладкий фасад</t>
  </si>
  <si>
    <t>Спецефект Рідке скло (антивандальний) 22мм, гладкий фасад</t>
  </si>
  <si>
    <t>Спецефект Перли, Графіт 22 мм, гладкий фасад</t>
  </si>
  <si>
    <t>Спецефект Зоряне небо+ глянцевий лак з поліруванням 22 мм, гладкий фасад</t>
  </si>
  <si>
    <t>Матове покриття 22 мм, фрез. Фасад кат.1</t>
  </si>
  <si>
    <t>Матове покриття 22 мм, фрез. Фасад кат.2</t>
  </si>
  <si>
    <t>Софт покриття 22 мм, фрез. Фасад кат.1</t>
  </si>
  <si>
    <t>Софт покриття 22 мм, фрез. Фасад кат.2</t>
  </si>
  <si>
    <t>Глянцеве покриття з поліруванням 22 мм, фрез. Фасад кат.1</t>
  </si>
  <si>
    <t>Глянцеве покриття з поліруванням 22 мм, фрез. Фасад кат.2</t>
  </si>
  <si>
    <t>Спецефект Перламутр срібло/золото 22 мм, фрез. фасад кат.1</t>
  </si>
  <si>
    <t>Спецефект Перламутр срібло/золото 22 мм, фрез. фасад кат.2</t>
  </si>
  <si>
    <t>Спецефект Гума (антивандальний) 22 мм, фрез. фасад кат.1</t>
  </si>
  <si>
    <t>Спецефект Гума (антивандальний) 22 мм, фрез. фасад кат.2</t>
  </si>
  <si>
    <t>Спецефект Автометалік Mobihel 22 мм, фрез. фасад кат.1</t>
  </si>
  <si>
    <t>Спецефект Автометалік Mobihel 22 мм, фрез. фасад кат.2</t>
  </si>
  <si>
    <t>Спецефект Рідке скло (антивандальний) 22 мм, фрез. фасад кат.1</t>
  </si>
  <si>
    <t>Спецефект Рідке скло (антивандальний) 22 мм, фрез. фасад кат.2</t>
  </si>
  <si>
    <t>Спецефект Перли, Графіт 22 мм, фрез. фасад кат.1</t>
  </si>
  <si>
    <t>Спецефект Перли, Графіт 22 мм, фрез. фасад кат.2</t>
  </si>
  <si>
    <t>Спецефект Зоряне небо 22 мм, фрез. фасад кат.1</t>
  </si>
  <si>
    <t>Спецефект Зоряне небо 22 мм, фрез. фасад кат.2</t>
  </si>
  <si>
    <t>Матове покриття з патиною 22 мм, фрез. фасад кат.1</t>
  </si>
  <si>
    <t>Матове покриття з патиною 22 мм, фрез. фасад кат.2</t>
  </si>
  <si>
    <t>Глянцеве покриття з патиною 22 мм, фрез. фасад кат.1</t>
  </si>
  <si>
    <t>Глянцеве покриття з патиною 22 мм, фрез. фасад кат.2</t>
  </si>
  <si>
    <t>Матовий DECAPE 22 мм, фрез. фасад кат.1</t>
  </si>
  <si>
    <t>Матовий DECAPE 22 мм, фрез. фасад кат.2</t>
  </si>
  <si>
    <t>Глянцевий DECAPE 22 мм, фрез. фасад кат.1</t>
  </si>
  <si>
    <t>Глянцевий DECAPE 22 мм, фрез. фасад кат.2</t>
  </si>
  <si>
    <t>Матова фарба + патина+матовий лак (відкрита пора), 22 мм кат.1</t>
  </si>
  <si>
    <t>Матова фарба + патина+матовий лак (відкрита пора), 22 мм кат.2</t>
  </si>
  <si>
    <t>Тонування+патина+матовий лак (відкрита пора), 22 мм кат.1</t>
  </si>
  <si>
    <t>Тонування+патина+матовий лак (відкрита пора), 22 мм кат.2</t>
  </si>
  <si>
    <t>Матова фарба відкрита пора, 22мм кат.1</t>
  </si>
  <si>
    <t>Матова фарба відкрита пора, 22 мм кат.2</t>
  </si>
  <si>
    <t>Тонування+матовий лак (відкрита пора), 22 мм кат.1</t>
  </si>
  <si>
    <t>Тонування+матовий лак (відкрита пора), 22 мм кат.2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</si>
</sst>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dd/mm/yy"/>
    <numFmt numFmtId="166" formatCode="[$-F800]dddd\,\ mmmm\ dd\,\ yyyy"/>
    <numFmt numFmtId="167" formatCode="0.0"/>
  </numFmts>
  <fonts count="32" x14ac:knownFonts="1"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color indexed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26"/>
      <name val="Arial"/>
      <family val="2"/>
      <charset val="204"/>
    </font>
    <font>
      <sz val="14"/>
      <name val="Arial"/>
      <family val="2"/>
      <charset val="204"/>
    </font>
    <font>
      <b/>
      <sz val="12"/>
      <color indexed="10"/>
      <name val="Arial"/>
      <family val="2"/>
      <charset val="204"/>
    </font>
    <font>
      <b/>
      <sz val="18"/>
      <name val="Arial"/>
      <family val="2"/>
      <charset val="204"/>
    </font>
    <font>
      <b/>
      <sz val="14"/>
      <color indexed="12"/>
      <name val="Arial"/>
      <family val="2"/>
      <charset val="204"/>
    </font>
    <font>
      <b/>
      <sz val="16"/>
      <name val="Arial"/>
      <family val="2"/>
      <charset val="204"/>
    </font>
    <font>
      <sz val="16"/>
      <name val="Arial"/>
      <family val="2"/>
      <charset val="204"/>
    </font>
    <font>
      <b/>
      <u/>
      <sz val="14"/>
      <color indexed="12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color indexed="18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i/>
      <sz val="12"/>
      <name val="Arial"/>
      <family val="2"/>
      <charset val="204"/>
    </font>
    <font>
      <sz val="12"/>
      <color indexed="10"/>
      <name val="Arial"/>
      <family val="2"/>
      <charset val="204"/>
    </font>
    <font>
      <sz val="12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u/>
      <sz val="10"/>
      <color indexed="12"/>
      <name val="Arial"/>
      <family val="2"/>
      <charset val="204"/>
    </font>
    <font>
      <b/>
      <sz val="20"/>
      <name val="Arial"/>
      <family val="2"/>
      <charset val="204"/>
    </font>
    <font>
      <sz val="10"/>
      <name val="Roboto"/>
    </font>
    <font>
      <sz val="10"/>
      <name val="Calibri"/>
      <family val="2"/>
      <charset val="204"/>
    </font>
    <font>
      <sz val="11"/>
      <color theme="1"/>
      <name val="Arial"/>
      <family val="2"/>
      <charset val="204"/>
    </font>
    <font>
      <sz val="10"/>
      <color rgb="FFFF0000"/>
      <name val="Arial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CE5CD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8" fillId="0" borderId="0"/>
    <xf numFmtId="0" fontId="8" fillId="0" borderId="0"/>
  </cellStyleXfs>
  <cellXfs count="397">
    <xf numFmtId="0" fontId="0" fillId="0" borderId="0" xfId="0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/>
    <xf numFmtId="0" fontId="3" fillId="0" borderId="0" xfId="0" applyFont="1"/>
    <xf numFmtId="0" fontId="11" fillId="0" borderId="0" xfId="0" applyFont="1"/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11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8" fillId="3" borderId="0" xfId="0" applyFont="1" applyFill="1" applyAlignment="1">
      <alignment horizontal="left"/>
    </xf>
    <xf numFmtId="0" fontId="17" fillId="0" borderId="0" xfId="1" applyNumberFormat="1" applyFont="1" applyFill="1" applyBorder="1" applyAlignment="1" applyProtection="1">
      <alignment horizontal="right"/>
    </xf>
    <xf numFmtId="0" fontId="17" fillId="0" borderId="0" xfId="1" applyFont="1" applyBorder="1" applyAlignment="1" applyProtection="1">
      <alignment horizontal="right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wrapText="1"/>
    </xf>
    <xf numFmtId="164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1" fontId="5" fillId="0" borderId="1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4" fontId="3" fillId="0" borderId="0" xfId="0" applyNumberFormat="1" applyFont="1"/>
    <xf numFmtId="165" fontId="3" fillId="0" borderId="0" xfId="0" applyNumberFormat="1" applyFont="1"/>
    <xf numFmtId="0" fontId="5" fillId="0" borderId="1" xfId="0" applyFont="1" applyBorder="1" applyAlignment="1">
      <alignment horizontal="center"/>
    </xf>
    <xf numFmtId="164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9" fillId="0" borderId="0" xfId="0" applyFont="1"/>
    <xf numFmtId="0" fontId="5" fillId="0" borderId="0" xfId="0" applyFont="1" applyAlignment="1">
      <alignment horizontal="right"/>
    </xf>
    <xf numFmtId="1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1" fontId="5" fillId="0" borderId="1" xfId="0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1" fillId="0" borderId="1" xfId="0" applyFont="1" applyBorder="1" applyAlignment="1" applyProtection="1">
      <alignment horizontal="center"/>
      <protection locked="0"/>
    </xf>
    <xf numFmtId="0" fontId="21" fillId="0" borderId="1" xfId="0" applyFont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right"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4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5" fillId="0" borderId="0" xfId="0" applyNumberFormat="1" applyFont="1" applyAlignment="1" applyProtection="1">
      <alignment horizontal="left"/>
      <protection locked="0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right"/>
    </xf>
    <xf numFmtId="0" fontId="26" fillId="0" borderId="0" xfId="1" applyFont="1" applyBorder="1" applyAlignment="1" applyProtection="1">
      <alignment horizontal="right"/>
    </xf>
    <xf numFmtId="0" fontId="26" fillId="0" borderId="0" xfId="1" applyNumberFormat="1" applyFont="1" applyFill="1" applyBorder="1" applyAlignment="1" applyProtection="1">
      <alignment horizontal="right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25" fillId="0" borderId="0" xfId="0" applyFont="1" applyAlignment="1">
      <alignment horizontal="right" vertical="center"/>
    </xf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5" fillId="7" borderId="0" xfId="0" applyFont="1" applyFill="1" applyProtection="1">
      <protection locked="0"/>
    </xf>
    <xf numFmtId="0" fontId="5" fillId="7" borderId="0" xfId="0" applyFont="1" applyFill="1" applyAlignment="1" applyProtection="1">
      <alignment horizontal="left"/>
      <protection locked="0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/>
    <xf numFmtId="164" fontId="0" fillId="0" borderId="0" xfId="0" applyNumberFormat="1"/>
    <xf numFmtId="0" fontId="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0" fontId="0" fillId="0" borderId="12" xfId="0" applyBorder="1"/>
    <xf numFmtId="0" fontId="0" fillId="0" borderId="13" xfId="0" applyBorder="1"/>
    <xf numFmtId="2" fontId="25" fillId="0" borderId="1" xfId="0" applyNumberFormat="1" applyFont="1" applyBorder="1"/>
    <xf numFmtId="2" fontId="25" fillId="0" borderId="14" xfId="0" applyNumberFormat="1" applyFont="1" applyBorder="1"/>
    <xf numFmtId="0" fontId="5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Alignment="1" applyProtection="1">
      <alignment vertical="center" wrapText="1"/>
      <protection hidden="1"/>
    </xf>
    <xf numFmtId="2" fontId="0" fillId="0" borderId="1" xfId="0" applyNumberFormat="1" applyBorder="1" applyProtection="1"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27" fillId="0" borderId="0" xfId="3" applyFont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 vertical="center" wrapText="1"/>
    </xf>
    <xf numFmtId="0" fontId="25" fillId="0" borderId="1" xfId="0" applyFont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28" fillId="3" borderId="1" xfId="0" applyFont="1" applyFill="1" applyBorder="1" applyAlignment="1">
      <alignment vertical="center" wrapText="1"/>
    </xf>
    <xf numFmtId="9" fontId="0" fillId="4" borderId="1" xfId="0" applyNumberFormat="1" applyFill="1" applyBorder="1" applyAlignment="1">
      <alignment wrapText="1"/>
    </xf>
    <xf numFmtId="0" fontId="21" fillId="0" borderId="0" xfId="0" applyFont="1" applyAlignment="1">
      <alignment horizontal="center"/>
    </xf>
    <xf numFmtId="0" fontId="4" fillId="0" borderId="0" xfId="0" applyFont="1" applyProtection="1">
      <protection locked="0" hidden="1"/>
    </xf>
    <xf numFmtId="0" fontId="4" fillId="0" borderId="1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164" fontId="5" fillId="0" borderId="5" xfId="0" applyNumberFormat="1" applyFont="1" applyBorder="1" applyAlignment="1" applyProtection="1">
      <alignment horizontal="center" vertical="center"/>
      <protection hidden="1"/>
    </xf>
    <xf numFmtId="164" fontId="3" fillId="0" borderId="0" xfId="0" applyNumberFormat="1" applyFont="1" applyAlignment="1" applyProtection="1">
      <alignment horizontal="center" vertical="top"/>
      <protection hidden="1"/>
    </xf>
    <xf numFmtId="4" fontId="5" fillId="0" borderId="0" xfId="0" applyNumberFormat="1" applyFont="1" applyAlignment="1" applyProtection="1">
      <alignment horizontal="center"/>
      <protection hidden="1"/>
    </xf>
    <xf numFmtId="164" fontId="5" fillId="0" borderId="1" xfId="0" applyNumberFormat="1" applyFont="1" applyBorder="1" applyAlignment="1" applyProtection="1">
      <alignment horizontal="center" vertical="center"/>
      <protection hidden="1"/>
    </xf>
    <xf numFmtId="3" fontId="5" fillId="0" borderId="3" xfId="0" applyNumberFormat="1" applyFont="1" applyBorder="1" applyAlignment="1" applyProtection="1">
      <alignment horizont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1" fontId="20" fillId="0" borderId="4" xfId="0" applyNumberFormat="1" applyFont="1" applyBorder="1" applyAlignment="1" applyProtection="1">
      <alignment horizontal="center"/>
      <protection hidden="1"/>
    </xf>
    <xf numFmtId="1" fontId="9" fillId="2" borderId="6" xfId="2" applyNumberFormat="1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0" fontId="9" fillId="2" borderId="1" xfId="2" applyFont="1" applyFill="1" applyBorder="1" applyAlignment="1" applyProtection="1">
      <alignment horizontal="center" vertical="center"/>
      <protection locked="0"/>
    </xf>
    <xf numFmtId="1" fontId="9" fillId="2" borderId="5" xfId="2" applyNumberFormat="1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1" fontId="9" fillId="0" borderId="1" xfId="2" applyNumberFormat="1" applyFont="1" applyBorder="1" applyAlignment="1" applyProtection="1">
      <alignment horizontal="center" vertical="center"/>
      <protection locked="0"/>
    </xf>
    <xf numFmtId="49" fontId="9" fillId="0" borderId="1" xfId="2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/>
    </xf>
    <xf numFmtId="164" fontId="15" fillId="0" borderId="0" xfId="0" applyNumberFormat="1" applyFont="1" applyAlignment="1" applyProtection="1">
      <alignment horizontal="center"/>
      <protection hidden="1"/>
    </xf>
    <xf numFmtId="0" fontId="15" fillId="0" borderId="0" xfId="0" applyFont="1" applyAlignment="1">
      <alignment horizontal="left"/>
    </xf>
    <xf numFmtId="1" fontId="15" fillId="0" borderId="4" xfId="0" applyNumberFormat="1" applyFont="1" applyBorder="1" applyAlignment="1" applyProtection="1">
      <alignment horizontal="center"/>
      <protection hidden="1"/>
    </xf>
    <xf numFmtId="3" fontId="5" fillId="0" borderId="1" xfId="0" applyNumberFormat="1" applyFont="1" applyBorder="1" applyAlignment="1" applyProtection="1">
      <alignment horizontal="center"/>
      <protection locked="0"/>
    </xf>
    <xf numFmtId="167" fontId="9" fillId="0" borderId="0" xfId="0" applyNumberFormat="1" applyFont="1" applyAlignment="1" applyProtection="1">
      <alignment horizontal="center"/>
      <protection hidden="1"/>
    </xf>
    <xf numFmtId="0" fontId="0" fillId="0" borderId="0" xfId="0" applyAlignment="1">
      <alignment horizontal="right" vertical="center" wrapText="1"/>
    </xf>
    <xf numFmtId="4" fontId="0" fillId="0" borderId="0" xfId="0" applyNumberForma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locked="0" hidden="1"/>
    </xf>
    <xf numFmtId="0" fontId="25" fillId="0" borderId="0" xfId="0" applyFont="1" applyAlignment="1" applyProtection="1">
      <alignment horizontal="right" vertical="center"/>
      <protection locked="0" hidden="1"/>
    </xf>
    <xf numFmtId="14" fontId="0" fillId="0" borderId="0" xfId="0" applyNumberFormat="1" applyProtection="1">
      <protection locked="0"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Protection="1">
      <protection hidden="1"/>
    </xf>
    <xf numFmtId="4" fontId="4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5" fillId="0" borderId="0" xfId="0" applyFont="1" applyAlignment="1" applyProtection="1">
      <alignment horizontal="right"/>
      <protection hidden="1"/>
    </xf>
    <xf numFmtId="0" fontId="29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8" borderId="1" xfId="0" applyFont="1" applyFill="1" applyBorder="1" applyAlignment="1" applyProtection="1">
      <alignment horizontal="center" vertical="center" wrapText="1"/>
      <protection hidden="1"/>
    </xf>
    <xf numFmtId="0" fontId="4" fillId="9" borderId="9" xfId="0" applyFont="1" applyFill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4" fillId="9" borderId="7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164" fontId="5" fillId="2" borderId="6" xfId="2" applyNumberFormat="1" applyFont="1" applyFill="1" applyBorder="1" applyAlignment="1" applyProtection="1">
      <alignment horizontal="center" vertical="center"/>
      <protection locked="0" hidden="1"/>
    </xf>
    <xf numFmtId="1" fontId="5" fillId="2" borderId="6" xfId="2" applyNumberFormat="1" applyFont="1" applyFill="1" applyBorder="1" applyAlignment="1" applyProtection="1">
      <alignment horizontal="center" vertical="center"/>
      <protection locked="0" hidden="1"/>
    </xf>
    <xf numFmtId="1" fontId="5" fillId="5" borderId="6" xfId="2" applyNumberFormat="1" applyFont="1" applyFill="1" applyBorder="1" applyAlignment="1" applyProtection="1">
      <alignment horizontal="center" vertical="center"/>
      <protection locked="0" hidden="1"/>
    </xf>
    <xf numFmtId="2" fontId="5" fillId="5" borderId="6" xfId="2" applyNumberFormat="1" applyFont="1" applyFill="1" applyBorder="1" applyAlignment="1" applyProtection="1">
      <alignment horizontal="center" vertical="center"/>
      <protection locked="0" hidden="1"/>
    </xf>
    <xf numFmtId="1" fontId="9" fillId="2" borderId="6" xfId="2" applyNumberFormat="1" applyFont="1" applyFill="1" applyBorder="1" applyAlignment="1" applyProtection="1">
      <alignment horizontal="center" vertical="center"/>
      <protection locked="0" hidden="1"/>
    </xf>
    <xf numFmtId="0" fontId="9" fillId="2" borderId="6" xfId="0" applyFont="1" applyFill="1" applyBorder="1" applyAlignment="1" applyProtection="1">
      <alignment horizontal="center" vertical="center" wrapText="1"/>
      <protection locked="0" hidden="1"/>
    </xf>
    <xf numFmtId="2" fontId="5" fillId="0" borderId="0" xfId="2" applyNumberFormat="1" applyFont="1" applyAlignment="1" applyProtection="1">
      <alignment horizontal="center" vertical="center"/>
      <protection locked="0" hidden="1"/>
    </xf>
    <xf numFmtId="1" fontId="5" fillId="0" borderId="0" xfId="2" applyNumberFormat="1" applyFont="1" applyAlignment="1" applyProtection="1">
      <alignment horizontal="center" vertical="center"/>
      <protection locked="0" hidden="1"/>
    </xf>
    <xf numFmtId="164" fontId="5" fillId="0" borderId="0" xfId="0" applyNumberFormat="1" applyFont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2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164" fontId="5" fillId="0" borderId="0" xfId="0" applyNumberFormat="1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center" vertical="top"/>
      <protection hidden="1"/>
    </xf>
    <xf numFmtId="0" fontId="5" fillId="0" borderId="3" xfId="0" applyFont="1" applyBorder="1" applyProtection="1"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6" xfId="0" applyFont="1" applyBorder="1" applyAlignment="1" applyProtection="1">
      <alignment horizontal="center" vertical="top" wrapText="1"/>
      <protection hidden="1"/>
    </xf>
    <xf numFmtId="164" fontId="5" fillId="2" borderId="10" xfId="2" applyNumberFormat="1" applyFont="1" applyFill="1" applyBorder="1" applyAlignment="1" applyProtection="1">
      <alignment horizontal="center" vertical="center"/>
      <protection locked="0" hidden="1"/>
    </xf>
    <xf numFmtId="0" fontId="5" fillId="9" borderId="2" xfId="0" applyFont="1" applyFill="1" applyBorder="1" applyAlignment="1" applyProtection="1">
      <alignment horizontal="center"/>
      <protection locked="0" hidden="1"/>
    </xf>
    <xf numFmtId="164" fontId="5" fillId="2" borderId="1" xfId="2" applyNumberFormat="1" applyFont="1" applyFill="1" applyBorder="1" applyAlignment="1" applyProtection="1">
      <alignment horizontal="center" vertical="center"/>
      <protection locked="0" hidden="1"/>
    </xf>
    <xf numFmtId="0" fontId="9" fillId="5" borderId="1" xfId="0" applyFont="1" applyFill="1" applyBorder="1" applyAlignment="1" applyProtection="1">
      <alignment horizontal="center" vertical="center" wrapText="1"/>
      <protection locked="0" hidden="1"/>
    </xf>
    <xf numFmtId="1" fontId="9" fillId="2" borderId="1" xfId="2" applyNumberFormat="1" applyFont="1" applyFill="1" applyBorder="1" applyAlignment="1" applyProtection="1">
      <alignment horizontal="center" vertical="center"/>
      <protection locked="0" hidden="1"/>
    </xf>
    <xf numFmtId="0" fontId="9" fillId="2" borderId="1" xfId="0" applyFont="1" applyFill="1" applyBorder="1" applyAlignment="1" applyProtection="1">
      <alignment horizontal="center" vertical="center" wrapText="1"/>
      <protection locked="0" hidden="1"/>
    </xf>
    <xf numFmtId="0" fontId="5" fillId="0" borderId="2" xfId="0" applyFont="1" applyBorder="1" applyAlignment="1" applyProtection="1">
      <alignment horizontal="center" vertical="top" wrapText="1"/>
      <protection hidden="1"/>
    </xf>
    <xf numFmtId="0" fontId="5" fillId="0" borderId="0" xfId="0" applyFont="1" applyAlignment="1" applyProtection="1">
      <alignment horizontal="center" vertical="top"/>
      <protection hidden="1"/>
    </xf>
    <xf numFmtId="1" fontId="5" fillId="0" borderId="1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/>
      <protection hidden="1"/>
    </xf>
    <xf numFmtId="14" fontId="5" fillId="0" borderId="0" xfId="0" applyNumberFormat="1" applyFont="1" applyProtection="1">
      <protection locked="0" hidden="1"/>
    </xf>
    <xf numFmtId="14" fontId="5" fillId="0" borderId="0" xfId="0" applyNumberFormat="1" applyFont="1" applyAlignment="1" applyProtection="1">
      <alignment horizontal="left"/>
      <protection locked="0" hidden="1"/>
    </xf>
    <xf numFmtId="14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hidden="1"/>
    </xf>
    <xf numFmtId="0" fontId="5" fillId="0" borderId="0" xfId="0" applyFont="1" applyProtection="1"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164" fontId="5" fillId="0" borderId="0" xfId="0" applyNumberFormat="1" applyFont="1" applyAlignment="1" applyProtection="1">
      <alignment horizontal="center"/>
      <protection locked="0" hidden="1"/>
    </xf>
    <xf numFmtId="2" fontId="5" fillId="0" borderId="0" xfId="0" applyNumberFormat="1" applyFont="1" applyAlignment="1" applyProtection="1">
      <alignment horizontal="center"/>
      <protection locked="0" hidden="1"/>
    </xf>
    <xf numFmtId="0" fontId="19" fillId="0" borderId="0" xfId="0" applyFont="1" applyProtection="1">
      <protection hidden="1"/>
    </xf>
    <xf numFmtId="3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/>
      <protection hidden="1"/>
    </xf>
    <xf numFmtId="1" fontId="5" fillId="0" borderId="0" xfId="0" applyNumberFormat="1" applyFont="1" applyAlignment="1" applyProtection="1">
      <alignment horizontal="center"/>
      <protection locked="0" hidden="1"/>
    </xf>
    <xf numFmtId="1" fontId="20" fillId="0" borderId="0" xfId="0" applyNumberFormat="1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6" borderId="1" xfId="0" applyFont="1" applyFill="1" applyBorder="1" applyAlignment="1" applyProtection="1">
      <alignment horizontal="center" wrapText="1"/>
      <protection hidden="1"/>
    </xf>
    <xf numFmtId="164" fontId="5" fillId="0" borderId="1" xfId="0" applyNumberFormat="1" applyFont="1" applyBorder="1" applyAlignment="1" applyProtection="1">
      <alignment horizontal="center"/>
      <protection locked="0" hidden="1"/>
    </xf>
    <xf numFmtId="2" fontId="5" fillId="0" borderId="1" xfId="0" applyNumberFormat="1" applyFont="1" applyBorder="1" applyAlignment="1" applyProtection="1">
      <alignment horizontal="center"/>
      <protection locked="0" hidden="1"/>
    </xf>
    <xf numFmtId="2" fontId="5" fillId="0" borderId="1" xfId="0" applyNumberFormat="1" applyFont="1" applyBorder="1" applyAlignment="1" applyProtection="1">
      <alignment horizontal="center"/>
      <protection hidden="1"/>
    </xf>
    <xf numFmtId="164" fontId="5" fillId="11" borderId="1" xfId="0" applyNumberFormat="1" applyFont="1" applyFill="1" applyBorder="1" applyAlignment="1" applyProtection="1">
      <alignment horizontal="center"/>
      <protection locked="0" hidden="1"/>
    </xf>
    <xf numFmtId="0" fontId="5" fillId="10" borderId="0" xfId="0" applyFont="1" applyFill="1" applyProtection="1">
      <protection locked="0" hidden="1"/>
    </xf>
    <xf numFmtId="0" fontId="5" fillId="10" borderId="0" xfId="0" applyFont="1" applyFill="1" applyAlignment="1" applyProtection="1">
      <alignment horizontal="left"/>
      <protection locked="0" hidden="1"/>
    </xf>
    <xf numFmtId="0" fontId="5" fillId="0" borderId="15" xfId="0" applyFont="1" applyBorder="1" applyAlignment="1" applyProtection="1">
      <alignment horizontal="left"/>
      <protection locked="0" hidden="1"/>
    </xf>
    <xf numFmtId="0" fontId="5" fillId="10" borderId="16" xfId="0" applyFont="1" applyFill="1" applyBorder="1" applyAlignment="1" applyProtection="1">
      <alignment horizontal="left"/>
      <protection locked="0" hidden="1"/>
    </xf>
    <xf numFmtId="0" fontId="5" fillId="10" borderId="0" xfId="0" applyFont="1" applyFill="1" applyAlignment="1" applyProtection="1">
      <alignment horizontal="center"/>
      <protection locked="0" hidden="1"/>
    </xf>
    <xf numFmtId="164" fontId="5" fillId="10" borderId="0" xfId="0" applyNumberFormat="1" applyFont="1" applyFill="1" applyAlignment="1" applyProtection="1">
      <alignment horizontal="center"/>
      <protection locked="0"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left"/>
      <protection locked="0" hidden="1"/>
    </xf>
    <xf numFmtId="1" fontId="5" fillId="0" borderId="1" xfId="0" applyNumberFormat="1" applyFont="1" applyBorder="1" applyAlignment="1" applyProtection="1">
      <alignment horizontal="center" vertical="center"/>
      <protection locked="0" hidden="1"/>
    </xf>
    <xf numFmtId="0" fontId="5" fillId="10" borderId="1" xfId="0" applyFont="1" applyFill="1" applyBorder="1" applyAlignment="1" applyProtection="1">
      <alignment horizontal="left"/>
      <protection locked="0" hidden="1"/>
    </xf>
    <xf numFmtId="1" fontId="5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5" fillId="10" borderId="0" xfId="0" applyFont="1" applyFill="1" applyAlignment="1" applyProtection="1">
      <alignment horizontal="center"/>
      <protection hidden="1"/>
    </xf>
    <xf numFmtId="2" fontId="5" fillId="10" borderId="0" xfId="0" applyNumberFormat="1" applyFont="1" applyFill="1" applyAlignment="1" applyProtection="1">
      <alignment horizontal="center"/>
      <protection hidden="1"/>
    </xf>
    <xf numFmtId="2" fontId="5" fillId="10" borderId="0" xfId="0" applyNumberFormat="1" applyFont="1" applyFill="1" applyAlignment="1" applyProtection="1">
      <alignment horizontal="center"/>
      <protection locked="0" hidden="1"/>
    </xf>
    <xf numFmtId="0" fontId="0" fillId="10" borderId="0" xfId="0" applyFill="1" applyProtection="1">
      <protection hidden="1"/>
    </xf>
    <xf numFmtId="0" fontId="19" fillId="10" borderId="0" xfId="0" applyFont="1" applyFill="1" applyProtection="1">
      <protection hidden="1"/>
    </xf>
    <xf numFmtId="3" fontId="5" fillId="10" borderId="0" xfId="0" applyNumberFormat="1" applyFont="1" applyFill="1" applyAlignment="1" applyProtection="1">
      <alignment horizontal="center"/>
      <protection hidden="1"/>
    </xf>
    <xf numFmtId="164" fontId="5" fillId="7" borderId="1" xfId="0" applyNumberFormat="1" applyFont="1" applyFill="1" applyBorder="1" applyAlignment="1" applyProtection="1">
      <alignment horizontal="center"/>
      <protection locked="0" hidden="1"/>
    </xf>
    <xf numFmtId="164" fontId="5" fillId="0" borderId="1" xfId="0" applyNumberFormat="1" applyFont="1" applyBorder="1" applyAlignment="1" applyProtection="1">
      <alignment horizontal="left"/>
      <protection locked="0" hidden="1"/>
    </xf>
    <xf numFmtId="164" fontId="5" fillId="0" borderId="0" xfId="0" applyNumberFormat="1" applyFont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center"/>
      <protection locked="0" hidden="1"/>
    </xf>
    <xf numFmtId="0" fontId="21" fillId="0" borderId="1" xfId="0" applyFont="1" applyBorder="1" applyAlignment="1" applyProtection="1">
      <alignment horizontal="center"/>
      <protection locked="0" hidden="1"/>
    </xf>
    <xf numFmtId="1" fontId="21" fillId="0" borderId="1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1" xfId="0" applyFont="1" applyBorder="1" applyAlignment="1" applyProtection="1">
      <alignment horizontal="left"/>
      <protection hidden="1"/>
    </xf>
    <xf numFmtId="1" fontId="21" fillId="0" borderId="1" xfId="0" applyNumberFormat="1" applyFont="1" applyBorder="1" applyAlignment="1" applyProtection="1">
      <alignment horizontal="center" vertical="center"/>
      <protection hidden="1"/>
    </xf>
    <xf numFmtId="49" fontId="9" fillId="0" borderId="1" xfId="2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17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hidden="1"/>
    </xf>
    <xf numFmtId="0" fontId="30" fillId="3" borderId="1" xfId="0" applyFont="1" applyFill="1" applyBorder="1" applyAlignment="1">
      <alignment horizont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wrapText="1"/>
    </xf>
    <xf numFmtId="0" fontId="0" fillId="3" borderId="1" xfId="0" applyFill="1" applyBorder="1" applyAlignment="1">
      <alignment horizontal="right" wrapText="1"/>
    </xf>
    <xf numFmtId="0" fontId="25" fillId="3" borderId="1" xfId="0" applyFont="1" applyFill="1" applyBorder="1" applyAlignment="1">
      <alignment wrapText="1"/>
    </xf>
    <xf numFmtId="0" fontId="25" fillId="0" borderId="1" xfId="0" applyFont="1" applyBorder="1" applyAlignment="1">
      <alignment horizontal="right" wrapText="1"/>
    </xf>
    <xf numFmtId="0" fontId="25" fillId="0" borderId="1" xfId="0" applyFont="1" applyBorder="1" applyAlignment="1">
      <alignment horizontal="right" vertical="center" wrapText="1"/>
    </xf>
    <xf numFmtId="0" fontId="0" fillId="7" borderId="0" xfId="0" applyFill="1" applyProtection="1">
      <protection hidden="1"/>
    </xf>
    <xf numFmtId="0" fontId="5" fillId="7" borderId="0" xfId="0" applyFont="1" applyFill="1" applyAlignment="1" applyProtection="1">
      <alignment horizontal="left"/>
      <protection locked="0" hidden="1"/>
    </xf>
    <xf numFmtId="0" fontId="5" fillId="7" borderId="1" xfId="0" applyFont="1" applyFill="1" applyBorder="1" applyAlignment="1" applyProtection="1">
      <alignment horizontal="left"/>
      <protection locked="0" hidden="1"/>
    </xf>
    <xf numFmtId="1" fontId="5" fillId="7" borderId="1" xfId="0" applyNumberFormat="1" applyFont="1" applyFill="1" applyBorder="1" applyAlignment="1" applyProtection="1">
      <alignment horizontal="center" vertical="center"/>
      <protection locked="0" hidden="1"/>
    </xf>
    <xf numFmtId="164" fontId="5" fillId="7" borderId="0" xfId="0" applyNumberFormat="1" applyFont="1" applyFill="1" applyAlignment="1" applyProtection="1">
      <alignment horizontal="center"/>
      <protection locked="0" hidden="1"/>
    </xf>
    <xf numFmtId="0" fontId="5" fillId="7" borderId="0" xfId="0" applyFont="1" applyFill="1" applyAlignment="1" applyProtection="1">
      <alignment horizontal="center"/>
      <protection hidden="1"/>
    </xf>
    <xf numFmtId="2" fontId="5" fillId="7" borderId="0" xfId="0" applyNumberFormat="1" applyFont="1" applyFill="1" applyAlignment="1" applyProtection="1">
      <alignment horizontal="center"/>
      <protection hidden="1"/>
    </xf>
    <xf numFmtId="2" fontId="5" fillId="7" borderId="0" xfId="0" applyNumberFormat="1" applyFont="1" applyFill="1" applyAlignment="1" applyProtection="1">
      <alignment horizontal="center"/>
      <protection locked="0" hidden="1"/>
    </xf>
    <xf numFmtId="0" fontId="19" fillId="7" borderId="0" xfId="0" applyFont="1" applyFill="1" applyProtection="1">
      <protection hidden="1"/>
    </xf>
    <xf numFmtId="3" fontId="5" fillId="7" borderId="0" xfId="0" applyNumberFormat="1" applyFont="1" applyFill="1" applyAlignment="1" applyProtection="1">
      <alignment horizontal="center"/>
      <protection hidden="1"/>
    </xf>
    <xf numFmtId="164" fontId="5" fillId="10" borderId="1" xfId="0" applyNumberFormat="1" applyFont="1" applyFill="1" applyBorder="1" applyAlignment="1" applyProtection="1">
      <alignment horizontal="center"/>
      <protection locked="0" hidden="1"/>
    </xf>
    <xf numFmtId="2" fontId="5" fillId="10" borderId="1" xfId="0" applyNumberFormat="1" applyFont="1" applyFill="1" applyBorder="1" applyAlignment="1" applyProtection="1">
      <alignment horizontal="center"/>
      <protection hidden="1"/>
    </xf>
    <xf numFmtId="2" fontId="5" fillId="10" borderId="1" xfId="0" applyNumberFormat="1" applyFont="1" applyFill="1" applyBorder="1" applyAlignment="1" applyProtection="1">
      <alignment horizontal="center"/>
      <protection locked="0" hidden="1"/>
    </xf>
    <xf numFmtId="1" fontId="5" fillId="10" borderId="1" xfId="0" applyNumberFormat="1" applyFont="1" applyFill="1" applyBorder="1" applyAlignment="1" applyProtection="1">
      <alignment horizontal="center"/>
      <protection hidden="1"/>
    </xf>
    <xf numFmtId="0" fontId="5" fillId="12" borderId="0" xfId="0" applyFont="1" applyFill="1" applyProtection="1">
      <protection locked="0" hidden="1"/>
    </xf>
    <xf numFmtId="0" fontId="5" fillId="12" borderId="0" xfId="0" applyFont="1" applyFill="1" applyAlignment="1" applyProtection="1">
      <alignment horizontal="left"/>
      <protection locked="0" hidden="1"/>
    </xf>
    <xf numFmtId="164" fontId="5" fillId="12" borderId="1" xfId="0" applyNumberFormat="1" applyFont="1" applyFill="1" applyBorder="1" applyAlignment="1" applyProtection="1">
      <alignment horizontal="center"/>
      <protection locked="0" hidden="1"/>
    </xf>
    <xf numFmtId="0" fontId="5" fillId="12" borderId="1" xfId="0" applyFont="1" applyFill="1" applyBorder="1" applyAlignment="1" applyProtection="1">
      <alignment horizontal="left"/>
      <protection locked="0" hidden="1"/>
    </xf>
    <xf numFmtId="1" fontId="5" fillId="12" borderId="1" xfId="0" applyNumberFormat="1" applyFont="1" applyFill="1" applyBorder="1" applyAlignment="1" applyProtection="1">
      <alignment horizontal="center" vertical="center"/>
      <protection locked="0" hidden="1"/>
    </xf>
    <xf numFmtId="164" fontId="5" fillId="12" borderId="0" xfId="0" applyNumberFormat="1" applyFont="1" applyFill="1" applyAlignment="1" applyProtection="1">
      <alignment horizontal="center"/>
      <protection locked="0" hidden="1"/>
    </xf>
    <xf numFmtId="0" fontId="5" fillId="12" borderId="0" xfId="0" applyFont="1" applyFill="1" applyAlignment="1" applyProtection="1">
      <alignment horizontal="center"/>
      <protection hidden="1"/>
    </xf>
    <xf numFmtId="2" fontId="5" fillId="12" borderId="0" xfId="0" applyNumberFormat="1" applyFont="1" applyFill="1" applyAlignment="1" applyProtection="1">
      <alignment horizontal="center"/>
      <protection hidden="1"/>
    </xf>
    <xf numFmtId="2" fontId="5" fillId="12" borderId="0" xfId="0" applyNumberFormat="1" applyFont="1" applyFill="1" applyAlignment="1" applyProtection="1">
      <alignment horizontal="center"/>
      <protection locked="0" hidden="1"/>
    </xf>
    <xf numFmtId="0" fontId="0" fillId="12" borderId="0" xfId="0" applyFill="1" applyProtection="1">
      <protection hidden="1"/>
    </xf>
    <xf numFmtId="0" fontId="19" fillId="12" borderId="0" xfId="0" applyFont="1" applyFill="1" applyProtection="1">
      <protection hidden="1"/>
    </xf>
    <xf numFmtId="3" fontId="5" fillId="12" borderId="0" xfId="0" applyNumberFormat="1" applyFont="1" applyFill="1" applyAlignment="1" applyProtection="1">
      <alignment horizontal="center"/>
      <protection hidden="1"/>
    </xf>
    <xf numFmtId="164" fontId="5" fillId="12" borderId="1" xfId="0" applyNumberFormat="1" applyFont="1" applyFill="1" applyBorder="1" applyAlignment="1" applyProtection="1">
      <alignment horizontal="left"/>
      <protection locked="0" hidden="1"/>
    </xf>
    <xf numFmtId="164" fontId="5" fillId="12" borderId="0" xfId="0" applyNumberFormat="1" applyFont="1" applyFill="1" applyAlignment="1" applyProtection="1">
      <alignment horizontal="left"/>
      <protection locked="0" hidden="1"/>
    </xf>
    <xf numFmtId="0" fontId="0" fillId="12" borderId="1" xfId="0" applyFill="1" applyBorder="1" applyProtection="1">
      <protection hidden="1"/>
    </xf>
    <xf numFmtId="0" fontId="5" fillId="12" borderId="0" xfId="0" applyFont="1" applyFill="1" applyAlignment="1" applyProtection="1">
      <alignment horizontal="left"/>
      <protection hidden="1"/>
    </xf>
    <xf numFmtId="1" fontId="5" fillId="12" borderId="0" xfId="0" applyNumberFormat="1" applyFont="1" applyFill="1" applyAlignment="1" applyProtection="1">
      <alignment horizontal="center"/>
      <protection locked="0" hidden="1"/>
    </xf>
    <xf numFmtId="0" fontId="5" fillId="12" borderId="0" xfId="0" applyFont="1" applyFill="1" applyAlignment="1" applyProtection="1">
      <alignment horizontal="center"/>
      <protection locked="0" hidden="1"/>
    </xf>
    <xf numFmtId="0" fontId="5" fillId="12" borderId="1" xfId="0" applyFont="1" applyFill="1" applyBorder="1" applyAlignment="1" applyProtection="1">
      <alignment horizontal="center"/>
      <protection locked="0" hidden="1"/>
    </xf>
    <xf numFmtId="1" fontId="5" fillId="12" borderId="0" xfId="0" applyNumberFormat="1" applyFont="1" applyFill="1" applyAlignment="1" applyProtection="1">
      <alignment horizontal="center"/>
      <protection hidden="1"/>
    </xf>
    <xf numFmtId="0" fontId="5" fillId="12" borderId="0" xfId="0" applyFont="1" applyFill="1" applyProtection="1">
      <protection hidden="1"/>
    </xf>
    <xf numFmtId="0" fontId="18" fillId="0" borderId="0" xfId="0" applyFont="1" applyAlignment="1" applyProtection="1">
      <alignment horizontal="left"/>
      <protection locked="0" hidden="1"/>
    </xf>
    <xf numFmtId="0" fontId="18" fillId="0" borderId="1" xfId="0" applyFont="1" applyBorder="1" applyAlignment="1" applyProtection="1">
      <alignment horizontal="left"/>
      <protection locked="0" hidden="1"/>
    </xf>
    <xf numFmtId="164" fontId="18" fillId="0" borderId="0" xfId="0" applyNumberFormat="1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horizontal="center"/>
      <protection hidden="1"/>
    </xf>
    <xf numFmtId="2" fontId="18" fillId="0" borderId="0" xfId="0" applyNumberFormat="1" applyFont="1" applyAlignment="1" applyProtection="1">
      <alignment horizontal="center"/>
      <protection hidden="1"/>
    </xf>
    <xf numFmtId="2" fontId="18" fillId="0" borderId="0" xfId="0" applyNumberFormat="1" applyFont="1" applyAlignment="1" applyProtection="1">
      <alignment horizontal="center"/>
      <protection locked="0" hidden="1"/>
    </xf>
    <xf numFmtId="0" fontId="31" fillId="0" borderId="0" xfId="0" applyFont="1" applyProtection="1">
      <protection hidden="1"/>
    </xf>
    <xf numFmtId="0" fontId="18" fillId="0" borderId="0" xfId="0" applyFont="1" applyProtection="1">
      <protection hidden="1"/>
    </xf>
    <xf numFmtId="3" fontId="18" fillId="0" borderId="0" xfId="0" applyNumberFormat="1" applyFont="1" applyAlignment="1" applyProtection="1">
      <alignment horizontal="center"/>
      <protection hidden="1"/>
    </xf>
    <xf numFmtId="1" fontId="30" fillId="0" borderId="1" xfId="0" applyNumberFormat="1" applyFont="1" applyBorder="1" applyAlignment="1">
      <alignment horizontal="center" vertical="center" wrapText="1"/>
    </xf>
    <xf numFmtId="2" fontId="4" fillId="0" borderId="0" xfId="0" applyNumberFormat="1" applyFont="1" applyProtection="1">
      <protection locked="0" hidden="1"/>
    </xf>
    <xf numFmtId="1" fontId="9" fillId="2" borderId="1" xfId="2" applyNumberFormat="1" applyFont="1" applyFill="1" applyBorder="1" applyAlignment="1" applyProtection="1">
      <alignment horizontal="center" vertical="center"/>
      <protection locked="0"/>
    </xf>
    <xf numFmtId="1" fontId="9" fillId="0" borderId="10" xfId="2" applyNumberFormat="1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5" fillId="13" borderId="0" xfId="0" applyFont="1" applyFill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15" fillId="0" borderId="3" xfId="0" applyNumberFormat="1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center"/>
    </xf>
    <xf numFmtId="14" fontId="15" fillId="0" borderId="7" xfId="0" applyNumberFormat="1" applyFont="1" applyBorder="1" applyAlignment="1" applyProtection="1">
      <alignment horizontal="left"/>
      <protection locked="0"/>
    </xf>
    <xf numFmtId="14" fontId="15" fillId="0" borderId="8" xfId="0" applyNumberFormat="1" applyFont="1" applyBorder="1" applyAlignment="1" applyProtection="1">
      <alignment horizontal="left"/>
      <protection locked="0"/>
    </xf>
    <xf numFmtId="14" fontId="15" fillId="0" borderId="9" xfId="0" applyNumberFormat="1" applyFont="1" applyBorder="1" applyAlignment="1" applyProtection="1">
      <alignment horizontal="left"/>
      <protection locked="0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27" fillId="0" borderId="0" xfId="3" applyFont="1" applyAlignment="1">
      <alignment horizontal="center" wrapText="1"/>
    </xf>
    <xf numFmtId="14" fontId="15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14" fontId="15" fillId="0" borderId="0" xfId="0" applyNumberFormat="1" applyFont="1" applyAlignment="1" applyProtection="1">
      <alignment horizontal="left" vertical="center"/>
      <protection locked="0" hidden="1"/>
    </xf>
    <xf numFmtId="0" fontId="5" fillId="0" borderId="7" xfId="0" applyFont="1" applyBorder="1" applyAlignment="1" applyProtection="1">
      <alignment horizontal="left"/>
      <protection hidden="1"/>
    </xf>
    <xf numFmtId="0" fontId="5" fillId="0" borderId="8" xfId="0" applyFont="1" applyBorder="1" applyAlignment="1" applyProtection="1">
      <alignment horizontal="left"/>
      <protection hidden="1"/>
    </xf>
    <xf numFmtId="0" fontId="5" fillId="0" borderId="9" xfId="0" applyFont="1" applyBorder="1" applyAlignment="1" applyProtection="1">
      <alignment horizontal="left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horizontal="left" vertic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25" fillId="0" borderId="1" xfId="0" applyFont="1" applyBorder="1" applyAlignment="1">
      <alignment horizontal="center" vertical="center" wrapText="1"/>
    </xf>
  </cellXfs>
  <cellStyles count="4">
    <cellStyle name="Excel Built-in Normal" xfId="3" xr:uid="{00000000-0005-0000-0000-000000000000}"/>
    <cellStyle name="Гиперссылка" xfId="1" builtinId="8"/>
    <cellStyle name="Обычный" xfId="0" builtinId="0"/>
    <cellStyle name="Обычный_Лист1" xfId="2" xr:uid="{00000000-0005-0000-0000-000003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33618</xdr:rowOff>
    </xdr:from>
    <xdr:to>
      <xdr:col>3</xdr:col>
      <xdr:colOff>313764</xdr:colOff>
      <xdr:row>8</xdr:row>
      <xdr:rowOff>281268</xdr:rowOff>
    </xdr:to>
    <xdr:pic>
      <xdr:nvPicPr>
        <xdr:cNvPr id="1047" name="Picture 2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18"/>
          <a:ext cx="2454088" cy="2119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1330778</xdr:colOff>
      <xdr:row>8</xdr:row>
      <xdr:rowOff>231321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83253" cy="20791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0</xdr:colOff>
      <xdr:row>8</xdr:row>
      <xdr:rowOff>161925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61925"/>
          <a:ext cx="1295400" cy="1295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1;&#1088;&#1086;&#1089;&#1083;&#1072;&#1074;/&#1059;&#1083;&#1100;&#1090;&#1088;&#1072;%20&#1092;&#1072;&#1089;&#1072;&#1076;&#1099;/&#1041;&#1083;&#1072;&#1085;&#1082;&#1080;/Classic_&#1089;%20&#1087;&#1088;&#1086;&#1089;&#1095;&#1105;&#1090;&#1086;&#10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c"/>
      <sheetName val="Счёт"/>
      <sheetName val="Просчет"/>
      <sheetName val="Материал МДФ"/>
      <sheetName val="Заявка на краску"/>
      <sheetName val="Наименования"/>
      <sheetName val="Прайс"/>
    </sheetNames>
    <sheetDataSet>
      <sheetData sheetId="0"/>
      <sheetData sheetId="1"/>
      <sheetData sheetId="2">
        <row r="56">
          <cell r="AH56">
            <v>0</v>
          </cell>
        </row>
      </sheetData>
      <sheetData sheetId="3"/>
      <sheetData sheetId="4"/>
      <sheetData sheetId="5">
        <row r="12">
          <cell r="L12" t="str">
            <v>Тонування+патина+матовий лак (відкрита пора)</v>
          </cell>
        </row>
        <row r="13">
          <cell r="L13" t="str">
            <v>Матова фарба + патина+матовий лак (відкрита пора)</v>
          </cell>
        </row>
        <row r="14">
          <cell r="L14" t="str">
            <v>Матова фарба відкрита пора</v>
          </cell>
        </row>
        <row r="15">
          <cell r="L15" t="str">
            <v>Тонування+матовий лак (відкрита пора)</v>
          </cell>
        </row>
      </sheetData>
      <sheetData sheetId="6">
        <row r="74">
          <cell r="D74">
            <v>5100</v>
          </cell>
          <cell r="F74">
            <v>5270</v>
          </cell>
          <cell r="G74">
            <v>6200</v>
          </cell>
        </row>
        <row r="75">
          <cell r="F75">
            <v>4930</v>
          </cell>
          <cell r="G75">
            <v>5860</v>
          </cell>
        </row>
        <row r="76">
          <cell r="F76">
            <v>4120</v>
          </cell>
          <cell r="G76">
            <v>5040</v>
          </cell>
        </row>
        <row r="77">
          <cell r="F77">
            <v>4450</v>
          </cell>
          <cell r="G77">
            <v>5370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J128"/>
  <sheetViews>
    <sheetView showGridLines="0" topLeftCell="A13" zoomScale="70" zoomScaleNormal="70" workbookViewId="0">
      <selection activeCell="R32" sqref="R32"/>
    </sheetView>
  </sheetViews>
  <sheetFormatPr defaultColWidth="11.5703125" defaultRowHeight="12.75" x14ac:dyDescent="0.2"/>
  <cols>
    <col min="1" max="1" width="3" customWidth="1"/>
    <col min="2" max="2" width="8.28515625" customWidth="1"/>
    <col min="3" max="4" width="26.140625" customWidth="1"/>
    <col min="5" max="5" width="8.140625" customWidth="1"/>
    <col min="6" max="6" width="9.7109375" customWidth="1"/>
    <col min="7" max="7" width="20.140625" customWidth="1"/>
    <col min="8" max="8" width="14.42578125" customWidth="1"/>
    <col min="9" max="9" width="19.28515625" bestFit="1" customWidth="1"/>
    <col min="10" max="13" width="12.28515625" customWidth="1"/>
    <col min="14" max="14" width="12.28515625" hidden="1" customWidth="1"/>
    <col min="15" max="15" width="12.28515625" customWidth="1"/>
    <col min="16" max="17" width="12.28515625" hidden="1" customWidth="1"/>
    <col min="18" max="18" width="13" customWidth="1"/>
    <col min="19" max="19" width="13.42578125" customWidth="1"/>
    <col min="20" max="20" width="13" customWidth="1"/>
    <col min="21" max="21" width="13" hidden="1" customWidth="1"/>
    <col min="22" max="22" width="18.7109375" hidden="1" customWidth="1"/>
    <col min="23" max="23" width="13" customWidth="1"/>
    <col min="24" max="27" width="13" hidden="1" customWidth="1"/>
    <col min="28" max="29" width="16.85546875" customWidth="1"/>
    <col min="30" max="31" width="15.42578125" customWidth="1"/>
    <col min="32" max="32" width="12.85546875" customWidth="1"/>
    <col min="33" max="33" width="19.5703125" customWidth="1"/>
    <col min="34" max="34" width="21" customWidth="1"/>
    <col min="35" max="35" width="12.28515625" customWidth="1"/>
    <col min="36" max="36" width="11.5703125" customWidth="1"/>
    <col min="37" max="37" width="63.5703125" customWidth="1"/>
    <col min="38" max="39" width="11.5703125" customWidth="1"/>
    <col min="40" max="40" width="18" customWidth="1"/>
  </cols>
  <sheetData>
    <row r="1" spans="1:36" ht="20.25" x14ac:dyDescent="0.3">
      <c r="B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6"/>
      <c r="AD1" s="6"/>
      <c r="AE1" s="6"/>
      <c r="AF1" s="6"/>
      <c r="AG1" s="6"/>
      <c r="AH1" s="6"/>
      <c r="AI1" s="16" t="s">
        <v>0</v>
      </c>
    </row>
    <row r="2" spans="1:36" ht="18" x14ac:dyDescent="0.25">
      <c r="B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12"/>
      <c r="AC2" s="13"/>
      <c r="AD2" s="13"/>
      <c r="AE2" s="13"/>
      <c r="AF2" s="13"/>
      <c r="AG2" s="13"/>
      <c r="AH2" s="13"/>
      <c r="AI2" s="14" t="s">
        <v>64</v>
      </c>
    </row>
    <row r="3" spans="1:36" ht="15.75" customHeight="1" x14ac:dyDescent="0.25">
      <c r="B3" s="2"/>
      <c r="D3" s="2"/>
      <c r="E3" t="s">
        <v>1</v>
      </c>
      <c r="R3" s="10"/>
      <c r="S3" s="10"/>
      <c r="T3" s="10"/>
      <c r="U3" s="10"/>
      <c r="V3" s="10"/>
      <c r="W3" s="10"/>
      <c r="X3" s="10"/>
      <c r="Y3" s="10"/>
      <c r="Z3" s="10"/>
      <c r="AA3" s="10"/>
      <c r="AC3" s="13"/>
      <c r="AD3" s="13"/>
      <c r="AE3" s="13"/>
      <c r="AF3" s="14"/>
      <c r="AG3" s="14"/>
      <c r="AH3" s="13"/>
      <c r="AI3" s="14" t="s">
        <v>65</v>
      </c>
    </row>
    <row r="4" spans="1:36" ht="18" x14ac:dyDescent="0.25">
      <c r="B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12"/>
      <c r="AC4" s="13"/>
      <c r="AD4" s="13"/>
      <c r="AE4" s="13"/>
      <c r="AF4" s="13"/>
      <c r="AG4" s="13"/>
      <c r="AH4" s="13"/>
      <c r="AI4" s="14" t="s">
        <v>354</v>
      </c>
    </row>
    <row r="5" spans="1:36" ht="18" x14ac:dyDescent="0.25">
      <c r="B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12"/>
      <c r="AC5" s="13"/>
      <c r="AD5" s="13"/>
      <c r="AE5" s="13"/>
      <c r="AF5" s="13"/>
      <c r="AG5" s="13"/>
      <c r="AH5" s="13"/>
      <c r="AI5" s="19" t="s">
        <v>51</v>
      </c>
    </row>
    <row r="6" spans="1:36" ht="18" x14ac:dyDescent="0.25">
      <c r="B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12"/>
      <c r="AC6" s="15"/>
      <c r="AD6" s="15"/>
      <c r="AE6" s="15"/>
      <c r="AF6" s="15"/>
      <c r="AG6" s="15"/>
      <c r="AH6" s="18"/>
      <c r="AI6" s="18" t="s">
        <v>52</v>
      </c>
    </row>
    <row r="7" spans="1:36" ht="14.25" x14ac:dyDescent="0.2">
      <c r="A7" s="22"/>
      <c r="B7" s="53"/>
      <c r="C7" s="22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4"/>
      <c r="AC7" s="55"/>
      <c r="AD7" s="55"/>
      <c r="AE7" s="55"/>
      <c r="AF7" s="55"/>
      <c r="AG7" s="55"/>
      <c r="AH7" s="55"/>
      <c r="AI7" s="56"/>
      <c r="AJ7" s="22"/>
    </row>
    <row r="8" spans="1:36" ht="23.25" customHeight="1" x14ac:dyDescent="0.2">
      <c r="A8" s="22"/>
      <c r="B8" s="21"/>
      <c r="C8" s="21"/>
      <c r="E8" s="129"/>
      <c r="F8" s="129"/>
      <c r="G8" s="129"/>
      <c r="H8" s="367" t="s">
        <v>278</v>
      </c>
      <c r="I8" s="367"/>
      <c r="J8" s="367"/>
      <c r="K8" s="367"/>
      <c r="L8" s="367"/>
      <c r="M8" s="367"/>
      <c r="N8" s="367"/>
      <c r="O8" s="367"/>
      <c r="P8" s="367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22"/>
    </row>
    <row r="9" spans="1:36" ht="26.25" customHeight="1" x14ac:dyDescent="0.4">
      <c r="A9" s="22"/>
      <c r="B9" s="21"/>
      <c r="C9" s="21"/>
      <c r="D9" s="57"/>
      <c r="E9" s="57"/>
      <c r="F9" s="57"/>
      <c r="G9" s="57"/>
      <c r="H9" s="57"/>
      <c r="I9" s="66" t="s">
        <v>66</v>
      </c>
      <c r="J9" s="371" t="s">
        <v>682</v>
      </c>
      <c r="K9" s="371"/>
      <c r="L9" s="115"/>
      <c r="M9" s="58"/>
      <c r="N9" s="58"/>
      <c r="O9" s="58"/>
      <c r="P9" s="58"/>
      <c r="Q9" s="58"/>
      <c r="U9" s="115"/>
      <c r="V9" s="115"/>
      <c r="W9" s="115"/>
      <c r="X9" s="115"/>
      <c r="Y9" s="115"/>
      <c r="Z9" s="115"/>
      <c r="AA9" s="115"/>
      <c r="AB9" s="58"/>
      <c r="AC9" s="57"/>
      <c r="AD9" s="57"/>
      <c r="AE9" s="57"/>
      <c r="AF9" s="57"/>
      <c r="AG9" s="57"/>
      <c r="AH9" s="57"/>
      <c r="AI9" s="57"/>
      <c r="AJ9" s="22"/>
    </row>
    <row r="10" spans="1:36" s="5" customFormat="1" ht="23.25" x14ac:dyDescent="0.25">
      <c r="A10" s="20"/>
      <c r="B10" s="370" t="s">
        <v>70</v>
      </c>
      <c r="C10" s="370"/>
      <c r="D10" s="374"/>
      <c r="E10" s="374"/>
      <c r="F10" s="374"/>
      <c r="G10" s="374"/>
      <c r="H10" s="374"/>
      <c r="I10" s="275"/>
      <c r="J10" s="276"/>
      <c r="K10" s="277"/>
      <c r="L10" s="277"/>
      <c r="M10" s="278"/>
      <c r="N10" s="278"/>
      <c r="O10" s="278"/>
      <c r="P10" s="278"/>
      <c r="Q10" s="278"/>
      <c r="R10" s="279"/>
      <c r="S10" s="279"/>
      <c r="T10" s="279"/>
      <c r="U10" s="113"/>
      <c r="V10" s="113"/>
      <c r="W10" s="113"/>
      <c r="X10" s="113"/>
      <c r="Y10" s="113"/>
      <c r="Z10" s="113"/>
      <c r="AA10" s="113"/>
      <c r="AC10" s="109"/>
      <c r="AD10" s="109"/>
      <c r="AE10" s="154" t="s">
        <v>15</v>
      </c>
      <c r="AF10" s="375">
        <f ca="1">TODAY()</f>
        <v>45693</v>
      </c>
      <c r="AG10" s="375"/>
      <c r="AH10" s="372"/>
      <c r="AI10" s="372"/>
      <c r="AJ10" s="20"/>
    </row>
    <row r="11" spans="1:36" ht="15.75" customHeight="1" x14ac:dyDescent="0.2">
      <c r="A11" s="22"/>
      <c r="B11" s="59"/>
      <c r="C11" s="89" t="s">
        <v>71</v>
      </c>
      <c r="D11" s="60"/>
      <c r="E11" s="60"/>
      <c r="F11" s="60"/>
      <c r="G11" s="83"/>
      <c r="H11" s="60"/>
      <c r="I11" s="60"/>
      <c r="J11" s="61"/>
      <c r="K11" s="61"/>
      <c r="L11" s="61"/>
      <c r="M11" s="61"/>
      <c r="N11" s="61"/>
      <c r="O11" s="61"/>
      <c r="P11" s="61"/>
      <c r="Q11" s="61"/>
      <c r="S11" s="58"/>
      <c r="T11" s="58"/>
      <c r="U11" s="58"/>
      <c r="V11" s="58"/>
      <c r="W11" s="58"/>
      <c r="X11" s="58"/>
      <c r="Y11" s="58"/>
      <c r="Z11" s="58"/>
      <c r="AA11" s="58"/>
      <c r="AC11" s="108"/>
      <c r="AD11" s="108"/>
      <c r="AE11" s="155" t="s">
        <v>67</v>
      </c>
      <c r="AF11" s="373"/>
      <c r="AG11" s="373"/>
      <c r="AH11" s="373"/>
      <c r="AI11" s="373"/>
      <c r="AJ11" s="22"/>
    </row>
    <row r="12" spans="1:36" ht="15.75" customHeight="1" x14ac:dyDescent="0.2">
      <c r="A12" s="22"/>
      <c r="B12" s="59"/>
      <c r="C12" s="62"/>
      <c r="D12" s="59"/>
      <c r="E12" s="59"/>
      <c r="F12" s="59"/>
      <c r="G12" s="59"/>
      <c r="H12" s="88"/>
      <c r="I12" s="88"/>
      <c r="J12" s="59"/>
      <c r="R12" s="58"/>
      <c r="S12" s="58"/>
      <c r="T12" s="58"/>
      <c r="U12" s="58"/>
      <c r="V12" s="58"/>
      <c r="W12" s="58"/>
      <c r="X12" s="58"/>
      <c r="Y12" s="58"/>
      <c r="Z12" s="58"/>
      <c r="AA12" s="58"/>
      <c r="AC12" s="108"/>
      <c r="AD12" s="108"/>
      <c r="AE12" s="155" t="s">
        <v>68</v>
      </c>
      <c r="AF12" s="342"/>
      <c r="AG12" s="342"/>
      <c r="AH12" s="342"/>
      <c r="AI12" s="342"/>
      <c r="AJ12" s="22"/>
    </row>
    <row r="13" spans="1:36" ht="20.25" x14ac:dyDescent="0.2">
      <c r="A13" s="22"/>
      <c r="B13" s="59"/>
      <c r="C13" s="62"/>
      <c r="D13" s="63"/>
      <c r="E13" s="59"/>
      <c r="F13" s="59"/>
      <c r="G13" s="59"/>
      <c r="H13" s="58"/>
      <c r="I13" s="58"/>
      <c r="J13" s="58"/>
      <c r="K13" s="58"/>
      <c r="L13" s="58"/>
      <c r="M13" s="58"/>
      <c r="N13" s="58"/>
      <c r="O13" s="58"/>
      <c r="P13" s="58"/>
      <c r="Q13" s="58"/>
      <c r="S13" s="58"/>
      <c r="T13" s="58"/>
      <c r="U13" s="58"/>
      <c r="V13" s="58"/>
      <c r="W13" s="58"/>
      <c r="X13" s="58"/>
      <c r="Y13" s="58"/>
      <c r="Z13" s="58"/>
      <c r="AA13" s="58"/>
      <c r="AC13" s="108"/>
      <c r="AD13" s="108"/>
      <c r="AE13" s="154" t="s">
        <v>69</v>
      </c>
      <c r="AF13" s="342"/>
      <c r="AG13" s="342"/>
      <c r="AH13" s="342"/>
      <c r="AI13" s="342"/>
      <c r="AJ13" s="22"/>
    </row>
    <row r="14" spans="1:36" ht="20.25" x14ac:dyDescent="0.2">
      <c r="A14" s="22"/>
      <c r="B14" s="64"/>
      <c r="C14" s="64"/>
      <c r="D14" s="64"/>
      <c r="E14" s="64"/>
      <c r="F14" s="64"/>
      <c r="G14" s="64"/>
      <c r="H14" s="369" t="s">
        <v>72</v>
      </c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112"/>
      <c r="V14" s="112"/>
      <c r="W14" s="112"/>
      <c r="X14" s="112"/>
      <c r="Y14" s="112"/>
      <c r="Z14" s="112"/>
      <c r="AA14" s="112"/>
      <c r="AC14" s="108"/>
      <c r="AD14" s="108"/>
      <c r="AE14" s="154" t="s">
        <v>16</v>
      </c>
      <c r="AF14" s="342"/>
      <c r="AG14" s="342"/>
      <c r="AH14" s="342"/>
      <c r="AI14" s="342"/>
      <c r="AJ14" s="22"/>
    </row>
    <row r="15" spans="1:36" ht="15.75" x14ac:dyDescent="0.2">
      <c r="A15" s="22"/>
      <c r="B15" s="65"/>
      <c r="C15" s="65"/>
      <c r="D15" s="65"/>
      <c r="E15" s="65"/>
      <c r="F15" s="65"/>
      <c r="G15" s="65"/>
      <c r="H15" s="369" t="s">
        <v>73</v>
      </c>
      <c r="I15" s="369"/>
      <c r="J15" s="369"/>
      <c r="K15" s="369"/>
      <c r="L15" s="369"/>
      <c r="M15" s="369"/>
      <c r="N15" s="36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  <c r="AA15" s="369"/>
      <c r="AB15" s="369"/>
      <c r="AC15" s="369"/>
      <c r="AD15" s="369"/>
      <c r="AE15" s="369"/>
      <c r="AF15" s="369"/>
      <c r="AG15" s="369"/>
      <c r="AH15" s="369"/>
      <c r="AI15" s="369"/>
      <c r="AJ15" s="22"/>
    </row>
    <row r="16" spans="1:36" ht="15.75" x14ac:dyDescent="0.2">
      <c r="A16" s="22"/>
      <c r="B16" s="65"/>
      <c r="C16" s="53"/>
      <c r="D16" s="53"/>
      <c r="E16" s="53"/>
      <c r="F16" s="53"/>
      <c r="G16" s="53"/>
      <c r="H16" s="369" t="s">
        <v>74</v>
      </c>
      <c r="I16" s="369"/>
      <c r="J16" s="369"/>
      <c r="K16" s="369"/>
      <c r="L16" s="369"/>
      <c r="M16" s="369"/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69"/>
      <c r="AA16" s="369"/>
      <c r="AB16" s="369"/>
      <c r="AC16" s="369"/>
      <c r="AD16" s="369"/>
      <c r="AE16" s="369"/>
      <c r="AF16" s="369"/>
      <c r="AG16" s="369"/>
      <c r="AH16" s="369"/>
      <c r="AI16" s="369"/>
      <c r="AJ16" s="22"/>
    </row>
    <row r="17" spans="1:36" ht="15.75" x14ac:dyDescent="0.2">
      <c r="A17" s="22"/>
      <c r="B17" s="65"/>
      <c r="C17" s="53"/>
      <c r="D17" s="53"/>
      <c r="E17" s="53"/>
      <c r="F17" s="53"/>
      <c r="G17" s="53"/>
      <c r="H17" s="369" t="s">
        <v>75</v>
      </c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69"/>
      <c r="AG17" s="369"/>
      <c r="AH17" s="369"/>
      <c r="AI17" s="369"/>
      <c r="AJ17" s="22"/>
    </row>
    <row r="18" spans="1:36" s="3" customFormat="1" ht="12" customHeight="1" x14ac:dyDescent="0.4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6" ht="18" x14ac:dyDescent="0.25">
      <c r="B19" s="368" t="s">
        <v>369</v>
      </c>
      <c r="C19" s="368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</row>
    <row r="20" spans="1:36" ht="94.5" x14ac:dyDescent="0.2">
      <c r="B20" s="130" t="s">
        <v>3</v>
      </c>
      <c r="C20" s="130" t="s">
        <v>77</v>
      </c>
      <c r="D20" s="130" t="s">
        <v>79</v>
      </c>
      <c r="E20" s="130" t="s">
        <v>78</v>
      </c>
      <c r="F20" s="130" t="s">
        <v>80</v>
      </c>
      <c r="G20" s="130" t="s">
        <v>316</v>
      </c>
      <c r="H20" s="130" t="s">
        <v>86</v>
      </c>
      <c r="I20" s="131" t="s">
        <v>349</v>
      </c>
      <c r="J20" s="364" t="s">
        <v>81</v>
      </c>
      <c r="K20" s="365"/>
      <c r="L20" s="364" t="s">
        <v>341</v>
      </c>
      <c r="M20" s="365"/>
      <c r="N20" s="114" t="s">
        <v>350</v>
      </c>
      <c r="O20" s="132" t="s">
        <v>355</v>
      </c>
      <c r="P20" s="98" t="s">
        <v>342</v>
      </c>
      <c r="Q20" s="98" t="s">
        <v>343</v>
      </c>
      <c r="R20" s="343" t="s">
        <v>82</v>
      </c>
      <c r="S20" s="343"/>
      <c r="T20" s="130" t="s">
        <v>83</v>
      </c>
      <c r="U20" s="127" t="s">
        <v>346</v>
      </c>
      <c r="V20" s="127" t="s">
        <v>351</v>
      </c>
      <c r="W20" s="130" t="s">
        <v>317</v>
      </c>
      <c r="X20" s="98" t="s">
        <v>353</v>
      </c>
      <c r="Y20" s="98" t="s">
        <v>344</v>
      </c>
      <c r="Z20" s="98" t="s">
        <v>352</v>
      </c>
      <c r="AA20" s="98" t="s">
        <v>345</v>
      </c>
      <c r="AB20" s="130" t="s">
        <v>87</v>
      </c>
      <c r="AC20" s="131" t="s">
        <v>84</v>
      </c>
      <c r="AD20" s="131" t="s">
        <v>347</v>
      </c>
      <c r="AE20" s="131" t="s">
        <v>348</v>
      </c>
      <c r="AF20" s="344" t="s">
        <v>205</v>
      </c>
      <c r="AG20" s="345"/>
      <c r="AH20" s="130" t="s">
        <v>76</v>
      </c>
      <c r="AI20" s="132" t="s">
        <v>85</v>
      </c>
    </row>
    <row r="21" spans="1:36" s="8" customFormat="1" ht="20.25" x14ac:dyDescent="0.2">
      <c r="B21" s="23">
        <v>1</v>
      </c>
      <c r="C21" s="146"/>
      <c r="D21" s="146"/>
      <c r="E21" s="146"/>
      <c r="F21" s="146"/>
      <c r="G21" s="146"/>
      <c r="H21" s="147"/>
      <c r="I21" s="148"/>
      <c r="J21" s="149"/>
      <c r="K21" s="147"/>
      <c r="L21" s="147"/>
      <c r="M21" s="146"/>
      <c r="N21" s="150"/>
      <c r="O21" s="151"/>
      <c r="P21" s="151"/>
      <c r="Q21" s="151"/>
      <c r="R21" s="151"/>
      <c r="S21" s="147"/>
      <c r="T21" s="147"/>
      <c r="U21" s="147"/>
      <c r="V21" s="147"/>
      <c r="W21" s="146"/>
      <c r="X21" s="146"/>
      <c r="Y21" s="146"/>
      <c r="Z21" s="146"/>
      <c r="AA21" s="146"/>
      <c r="AB21" s="147"/>
      <c r="AC21" s="148"/>
      <c r="AD21" s="152"/>
      <c r="AE21" s="152"/>
      <c r="AF21" s="153"/>
      <c r="AG21" s="274"/>
      <c r="AH21" s="153"/>
      <c r="AI21" s="139">
        <f t="shared" ref="AI21:AI43" si="0">C21*D21/1000000*E21</f>
        <v>0</v>
      </c>
    </row>
    <row r="22" spans="1:36" s="8" customFormat="1" ht="20.25" x14ac:dyDescent="0.2">
      <c r="B22" s="24">
        <v>2</v>
      </c>
      <c r="C22" s="146"/>
      <c r="D22" s="146"/>
      <c r="E22" s="146"/>
      <c r="F22" s="146"/>
      <c r="G22" s="146"/>
      <c r="H22" s="147"/>
      <c r="I22" s="148"/>
      <c r="J22" s="149"/>
      <c r="K22" s="147"/>
      <c r="L22" s="147"/>
      <c r="M22" s="146"/>
      <c r="N22" s="150"/>
      <c r="O22" s="151"/>
      <c r="P22" s="151"/>
      <c r="Q22" s="151"/>
      <c r="R22" s="151"/>
      <c r="S22" s="147"/>
      <c r="T22" s="147"/>
      <c r="U22" s="147"/>
      <c r="V22" s="147"/>
      <c r="W22" s="146"/>
      <c r="X22" s="146"/>
      <c r="Y22" s="146"/>
      <c r="Z22" s="146"/>
      <c r="AA22" s="146"/>
      <c r="AB22" s="147"/>
      <c r="AC22" s="148"/>
      <c r="AD22" s="152"/>
      <c r="AE22" s="152"/>
      <c r="AF22" s="153"/>
      <c r="AG22" s="274"/>
      <c r="AH22" s="153"/>
      <c r="AI22" s="139">
        <f t="shared" si="0"/>
        <v>0</v>
      </c>
    </row>
    <row r="23" spans="1:36" s="8" customFormat="1" ht="20.25" x14ac:dyDescent="0.2">
      <c r="B23" s="24">
        <v>3</v>
      </c>
      <c r="C23" s="146"/>
      <c r="D23" s="146"/>
      <c r="E23" s="146"/>
      <c r="F23" s="146"/>
      <c r="G23" s="146"/>
      <c r="H23" s="147"/>
      <c r="I23" s="148"/>
      <c r="J23" s="149"/>
      <c r="K23" s="147"/>
      <c r="L23" s="147"/>
      <c r="M23" s="146"/>
      <c r="N23" s="150"/>
      <c r="O23" s="151"/>
      <c r="P23" s="151"/>
      <c r="Q23" s="151"/>
      <c r="R23" s="151"/>
      <c r="S23" s="147"/>
      <c r="T23" s="147"/>
      <c r="U23" s="147"/>
      <c r="V23" s="147"/>
      <c r="W23" s="146"/>
      <c r="X23" s="146"/>
      <c r="Y23" s="146"/>
      <c r="Z23" s="146"/>
      <c r="AA23" s="146"/>
      <c r="AB23" s="147"/>
      <c r="AC23" s="148"/>
      <c r="AD23" s="152"/>
      <c r="AE23" s="152"/>
      <c r="AF23" s="153"/>
      <c r="AG23" s="274"/>
      <c r="AH23" s="153"/>
      <c r="AI23" s="139">
        <f t="shared" si="0"/>
        <v>0</v>
      </c>
    </row>
    <row r="24" spans="1:36" s="8" customFormat="1" ht="20.25" x14ac:dyDescent="0.2">
      <c r="B24" s="24">
        <v>4</v>
      </c>
      <c r="C24" s="146"/>
      <c r="D24" s="146"/>
      <c r="E24" s="146"/>
      <c r="F24" s="146"/>
      <c r="G24" s="146"/>
      <c r="H24" s="147"/>
      <c r="I24" s="148"/>
      <c r="J24" s="149"/>
      <c r="K24" s="147"/>
      <c r="L24" s="147"/>
      <c r="M24" s="146"/>
      <c r="N24" s="150"/>
      <c r="O24" s="151"/>
      <c r="P24" s="151"/>
      <c r="Q24" s="151"/>
      <c r="R24" s="151"/>
      <c r="S24" s="147"/>
      <c r="T24" s="147"/>
      <c r="U24" s="147"/>
      <c r="V24" s="147"/>
      <c r="W24" s="146"/>
      <c r="X24" s="146"/>
      <c r="Y24" s="146"/>
      <c r="Z24" s="146"/>
      <c r="AA24" s="146"/>
      <c r="AB24" s="147"/>
      <c r="AC24" s="148"/>
      <c r="AD24" s="152"/>
      <c r="AE24" s="152"/>
      <c r="AF24" s="153"/>
      <c r="AG24" s="274"/>
      <c r="AH24" s="153"/>
      <c r="AI24" s="139">
        <f t="shared" si="0"/>
        <v>0</v>
      </c>
    </row>
    <row r="25" spans="1:36" s="8" customFormat="1" ht="20.25" x14ac:dyDescent="0.2">
      <c r="B25" s="24">
        <v>5</v>
      </c>
      <c r="C25" s="146"/>
      <c r="D25" s="146"/>
      <c r="E25" s="146"/>
      <c r="F25" s="146"/>
      <c r="G25" s="146"/>
      <c r="H25" s="147"/>
      <c r="I25" s="148"/>
      <c r="J25" s="149"/>
      <c r="K25" s="147"/>
      <c r="L25" s="147"/>
      <c r="M25" s="146"/>
      <c r="N25" s="150"/>
      <c r="O25" s="151"/>
      <c r="P25" s="151"/>
      <c r="Q25" s="151"/>
      <c r="R25" s="151"/>
      <c r="S25" s="147"/>
      <c r="T25" s="147"/>
      <c r="U25" s="147"/>
      <c r="V25" s="147"/>
      <c r="W25" s="146"/>
      <c r="X25" s="146"/>
      <c r="Y25" s="146"/>
      <c r="Z25" s="146"/>
      <c r="AA25" s="146"/>
      <c r="AB25" s="147"/>
      <c r="AC25" s="148"/>
      <c r="AD25" s="152"/>
      <c r="AE25" s="152"/>
      <c r="AF25" s="153"/>
      <c r="AG25" s="274"/>
      <c r="AH25" s="153"/>
      <c r="AI25" s="139">
        <f t="shared" si="0"/>
        <v>0</v>
      </c>
    </row>
    <row r="26" spans="1:36" s="8" customFormat="1" ht="20.25" x14ac:dyDescent="0.2">
      <c r="B26" s="24">
        <v>6</v>
      </c>
      <c r="C26" s="149"/>
      <c r="D26" s="149"/>
      <c r="E26" s="334"/>
      <c r="F26" s="146"/>
      <c r="G26" s="146"/>
      <c r="H26" s="147"/>
      <c r="I26" s="148"/>
      <c r="J26" s="149"/>
      <c r="K26" s="147"/>
      <c r="L26" s="147"/>
      <c r="M26" s="146"/>
      <c r="N26" s="150"/>
      <c r="O26" s="151"/>
      <c r="P26" s="151"/>
      <c r="Q26" s="151"/>
      <c r="R26" s="151"/>
      <c r="S26" s="147"/>
      <c r="T26" s="147"/>
      <c r="U26" s="147"/>
      <c r="V26" s="147"/>
      <c r="W26" s="146"/>
      <c r="X26" s="146"/>
      <c r="Y26" s="146"/>
      <c r="Z26" s="146"/>
      <c r="AA26" s="146"/>
      <c r="AB26" s="147"/>
      <c r="AC26" s="148"/>
      <c r="AD26" s="152"/>
      <c r="AE26" s="152"/>
      <c r="AF26" s="153"/>
      <c r="AG26" s="274"/>
      <c r="AH26" s="153"/>
      <c r="AI26" s="139">
        <f t="shared" si="0"/>
        <v>0</v>
      </c>
    </row>
    <row r="27" spans="1:36" s="9" customFormat="1" ht="20.25" x14ac:dyDescent="0.3">
      <c r="B27" s="24">
        <v>7</v>
      </c>
      <c r="C27" s="149"/>
      <c r="D27" s="149"/>
      <c r="E27" s="334"/>
      <c r="F27" s="146"/>
      <c r="G27" s="146"/>
      <c r="H27" s="147"/>
      <c r="I27" s="148"/>
      <c r="J27" s="149"/>
      <c r="K27" s="147"/>
      <c r="L27" s="147"/>
      <c r="M27" s="146"/>
      <c r="N27" s="150"/>
      <c r="O27" s="151"/>
      <c r="P27" s="151"/>
      <c r="Q27" s="151"/>
      <c r="R27" s="151"/>
      <c r="S27" s="147"/>
      <c r="T27" s="147"/>
      <c r="U27" s="147"/>
      <c r="V27" s="147"/>
      <c r="W27" s="146"/>
      <c r="X27" s="146"/>
      <c r="Y27" s="146"/>
      <c r="Z27" s="146"/>
      <c r="AA27" s="146"/>
      <c r="AB27" s="147"/>
      <c r="AC27" s="148"/>
      <c r="AD27" s="152"/>
      <c r="AE27" s="152"/>
      <c r="AF27" s="153"/>
      <c r="AG27" s="274"/>
      <c r="AH27" s="153"/>
      <c r="AI27" s="139">
        <f t="shared" si="0"/>
        <v>0</v>
      </c>
      <c r="AJ27" s="8"/>
    </row>
    <row r="28" spans="1:36" s="9" customFormat="1" ht="20.25" x14ac:dyDescent="0.3">
      <c r="B28" s="24">
        <v>8</v>
      </c>
      <c r="C28" s="149"/>
      <c r="D28" s="149"/>
      <c r="E28" s="334"/>
      <c r="F28" s="146"/>
      <c r="G28" s="146"/>
      <c r="H28" s="147"/>
      <c r="I28" s="148"/>
      <c r="J28" s="149"/>
      <c r="K28" s="147"/>
      <c r="L28" s="147"/>
      <c r="M28" s="146"/>
      <c r="N28" s="150"/>
      <c r="O28" s="151"/>
      <c r="P28" s="151"/>
      <c r="Q28" s="151"/>
      <c r="R28" s="151"/>
      <c r="S28" s="147"/>
      <c r="T28" s="147"/>
      <c r="U28" s="147"/>
      <c r="V28" s="147"/>
      <c r="W28" s="146"/>
      <c r="X28" s="146"/>
      <c r="Y28" s="146"/>
      <c r="Z28" s="146"/>
      <c r="AA28" s="146"/>
      <c r="AB28" s="147"/>
      <c r="AC28" s="148"/>
      <c r="AD28" s="152"/>
      <c r="AE28" s="152"/>
      <c r="AF28" s="153"/>
      <c r="AG28" s="274"/>
      <c r="AH28" s="153"/>
      <c r="AI28" s="139">
        <f t="shared" si="0"/>
        <v>0</v>
      </c>
      <c r="AJ28" s="8"/>
    </row>
    <row r="29" spans="1:36" s="9" customFormat="1" ht="20.25" x14ac:dyDescent="0.3">
      <c r="B29" s="24">
        <v>9</v>
      </c>
      <c r="C29" s="149"/>
      <c r="D29" s="149"/>
      <c r="E29" s="334"/>
      <c r="F29" s="146"/>
      <c r="G29" s="146"/>
      <c r="H29" s="147"/>
      <c r="I29" s="148"/>
      <c r="J29" s="149"/>
      <c r="K29" s="147"/>
      <c r="L29" s="147"/>
      <c r="M29" s="146"/>
      <c r="N29" s="150"/>
      <c r="O29" s="151"/>
      <c r="P29" s="151"/>
      <c r="Q29" s="151"/>
      <c r="R29" s="151"/>
      <c r="S29" s="147"/>
      <c r="T29" s="147"/>
      <c r="U29" s="147"/>
      <c r="V29" s="147"/>
      <c r="W29" s="146"/>
      <c r="X29" s="146"/>
      <c r="Y29" s="146"/>
      <c r="Z29" s="146"/>
      <c r="AA29" s="146"/>
      <c r="AB29" s="147"/>
      <c r="AC29" s="148"/>
      <c r="AD29" s="152"/>
      <c r="AE29" s="152"/>
      <c r="AF29" s="153"/>
      <c r="AG29" s="274"/>
      <c r="AH29" s="153"/>
      <c r="AI29" s="139">
        <f t="shared" si="0"/>
        <v>0</v>
      </c>
      <c r="AJ29" s="8"/>
    </row>
    <row r="30" spans="1:36" s="9" customFormat="1" ht="20.25" x14ac:dyDescent="0.3">
      <c r="B30" s="24">
        <v>10</v>
      </c>
      <c r="C30" s="149"/>
      <c r="D30" s="149"/>
      <c r="E30" s="334"/>
      <c r="F30" s="146"/>
      <c r="G30" s="146"/>
      <c r="H30" s="147"/>
      <c r="I30" s="148"/>
      <c r="J30" s="149"/>
      <c r="K30" s="147"/>
      <c r="L30" s="147"/>
      <c r="M30" s="146"/>
      <c r="N30" s="150"/>
      <c r="O30" s="151"/>
      <c r="P30" s="151"/>
      <c r="Q30" s="151"/>
      <c r="R30" s="151"/>
      <c r="S30" s="147"/>
      <c r="T30" s="147"/>
      <c r="U30" s="147"/>
      <c r="V30" s="147"/>
      <c r="W30" s="146"/>
      <c r="X30" s="146"/>
      <c r="Y30" s="146"/>
      <c r="Z30" s="146"/>
      <c r="AA30" s="146"/>
      <c r="AB30" s="147"/>
      <c r="AC30" s="148"/>
      <c r="AD30" s="152"/>
      <c r="AE30" s="152"/>
      <c r="AF30" s="153"/>
      <c r="AG30" s="274"/>
      <c r="AH30" s="153"/>
      <c r="AI30" s="139">
        <f t="shared" si="0"/>
        <v>0</v>
      </c>
      <c r="AJ30" s="8"/>
    </row>
    <row r="31" spans="1:36" s="9" customFormat="1" ht="20.25" x14ac:dyDescent="0.3">
      <c r="B31" s="24">
        <v>11</v>
      </c>
      <c r="C31" s="149"/>
      <c r="D31" s="149"/>
      <c r="E31" s="334"/>
      <c r="F31" s="146"/>
      <c r="G31" s="146"/>
      <c r="H31" s="147"/>
      <c r="I31" s="148"/>
      <c r="J31" s="149"/>
      <c r="K31" s="147"/>
      <c r="L31" s="147"/>
      <c r="M31" s="146"/>
      <c r="N31" s="150"/>
      <c r="O31" s="151"/>
      <c r="P31" s="151"/>
      <c r="Q31" s="151"/>
      <c r="R31" s="151"/>
      <c r="S31" s="147"/>
      <c r="T31" s="147"/>
      <c r="U31" s="147"/>
      <c r="V31" s="147"/>
      <c r="W31" s="146"/>
      <c r="X31" s="146"/>
      <c r="Y31" s="146"/>
      <c r="Z31" s="146"/>
      <c r="AA31" s="146"/>
      <c r="AB31" s="147"/>
      <c r="AC31" s="148"/>
      <c r="AD31" s="152"/>
      <c r="AE31" s="152"/>
      <c r="AF31" s="153"/>
      <c r="AG31" s="274"/>
      <c r="AH31" s="153"/>
      <c r="AI31" s="139">
        <f t="shared" si="0"/>
        <v>0</v>
      </c>
      <c r="AJ31" s="8"/>
    </row>
    <row r="32" spans="1:36" s="9" customFormat="1" ht="20.25" x14ac:dyDescent="0.3">
      <c r="B32" s="24">
        <v>12</v>
      </c>
      <c r="C32" s="146"/>
      <c r="D32" s="146"/>
      <c r="E32" s="146"/>
      <c r="F32" s="146"/>
      <c r="G32" s="146"/>
      <c r="H32" s="147"/>
      <c r="I32" s="148"/>
      <c r="J32" s="149"/>
      <c r="K32" s="147"/>
      <c r="L32" s="147"/>
      <c r="M32" s="146"/>
      <c r="N32" s="150"/>
      <c r="O32" s="151"/>
      <c r="P32" s="151"/>
      <c r="Q32" s="151"/>
      <c r="R32" s="151"/>
      <c r="S32" s="147"/>
      <c r="T32" s="147"/>
      <c r="U32" s="147"/>
      <c r="V32" s="147"/>
      <c r="W32" s="146"/>
      <c r="X32" s="146"/>
      <c r="Y32" s="146"/>
      <c r="Z32" s="146"/>
      <c r="AA32" s="146"/>
      <c r="AB32" s="147"/>
      <c r="AC32" s="148"/>
      <c r="AD32" s="152"/>
      <c r="AE32" s="152"/>
      <c r="AF32" s="153"/>
      <c r="AG32" s="274"/>
      <c r="AH32" s="153"/>
      <c r="AI32" s="139">
        <f t="shared" si="0"/>
        <v>0</v>
      </c>
      <c r="AJ32" s="8"/>
    </row>
    <row r="33" spans="2:36" s="9" customFormat="1" ht="20.25" x14ac:dyDescent="0.3">
      <c r="B33" s="24">
        <v>13</v>
      </c>
      <c r="C33" s="146"/>
      <c r="D33" s="146"/>
      <c r="E33" s="146"/>
      <c r="F33" s="146"/>
      <c r="G33" s="146"/>
      <c r="H33" s="147"/>
      <c r="I33" s="148"/>
      <c r="J33" s="149"/>
      <c r="K33" s="147"/>
      <c r="L33" s="147"/>
      <c r="M33" s="146"/>
      <c r="N33" s="150"/>
      <c r="O33" s="151"/>
      <c r="P33" s="151"/>
      <c r="Q33" s="151"/>
      <c r="R33" s="151"/>
      <c r="S33" s="147"/>
      <c r="T33" s="147"/>
      <c r="U33" s="147"/>
      <c r="V33" s="147"/>
      <c r="W33" s="146"/>
      <c r="X33" s="146"/>
      <c r="Y33" s="146"/>
      <c r="Z33" s="146"/>
      <c r="AA33" s="146"/>
      <c r="AB33" s="147"/>
      <c r="AC33" s="148"/>
      <c r="AD33" s="152"/>
      <c r="AE33" s="152"/>
      <c r="AF33" s="153"/>
      <c r="AG33" s="274"/>
      <c r="AH33" s="153"/>
      <c r="AI33" s="139">
        <f t="shared" si="0"/>
        <v>0</v>
      </c>
      <c r="AJ33" s="8"/>
    </row>
    <row r="34" spans="2:36" s="9" customFormat="1" ht="20.25" x14ac:dyDescent="0.3">
      <c r="B34" s="24">
        <v>14</v>
      </c>
      <c r="C34" s="146"/>
      <c r="D34" s="146"/>
      <c r="E34" s="146"/>
      <c r="F34" s="146"/>
      <c r="G34" s="146"/>
      <c r="H34" s="147"/>
      <c r="I34" s="148"/>
      <c r="J34" s="149"/>
      <c r="K34" s="147"/>
      <c r="L34" s="147"/>
      <c r="M34" s="146"/>
      <c r="N34" s="150"/>
      <c r="O34" s="151"/>
      <c r="P34" s="151"/>
      <c r="Q34" s="151"/>
      <c r="R34" s="151"/>
      <c r="S34" s="147"/>
      <c r="T34" s="147"/>
      <c r="U34" s="147"/>
      <c r="V34" s="147"/>
      <c r="W34" s="146"/>
      <c r="X34" s="146"/>
      <c r="Y34" s="146"/>
      <c r="Z34" s="146"/>
      <c r="AA34" s="146"/>
      <c r="AB34" s="147"/>
      <c r="AC34" s="148"/>
      <c r="AD34" s="152"/>
      <c r="AE34" s="152"/>
      <c r="AF34" s="153"/>
      <c r="AG34" s="274"/>
      <c r="AH34" s="153"/>
      <c r="AI34" s="139">
        <f t="shared" si="0"/>
        <v>0</v>
      </c>
      <c r="AJ34" s="8"/>
    </row>
    <row r="35" spans="2:36" s="9" customFormat="1" ht="20.25" x14ac:dyDescent="0.3">
      <c r="B35" s="24">
        <v>15</v>
      </c>
      <c r="C35" s="146"/>
      <c r="D35" s="146"/>
      <c r="E35" s="146"/>
      <c r="F35" s="146"/>
      <c r="G35" s="146"/>
      <c r="H35" s="147"/>
      <c r="I35" s="148"/>
      <c r="J35" s="149"/>
      <c r="K35" s="147"/>
      <c r="L35" s="147"/>
      <c r="M35" s="146"/>
      <c r="N35" s="150"/>
      <c r="O35" s="151"/>
      <c r="P35" s="151"/>
      <c r="Q35" s="151"/>
      <c r="R35" s="151"/>
      <c r="S35" s="147"/>
      <c r="T35" s="147"/>
      <c r="U35" s="147"/>
      <c r="V35" s="147"/>
      <c r="W35" s="146"/>
      <c r="X35" s="146"/>
      <c r="Y35" s="146"/>
      <c r="Z35" s="146"/>
      <c r="AA35" s="146"/>
      <c r="AB35" s="147"/>
      <c r="AC35" s="148"/>
      <c r="AD35" s="152"/>
      <c r="AE35" s="152"/>
      <c r="AF35" s="153"/>
      <c r="AG35" s="274"/>
      <c r="AH35" s="153"/>
      <c r="AI35" s="139">
        <f t="shared" si="0"/>
        <v>0</v>
      </c>
      <c r="AJ35" s="8"/>
    </row>
    <row r="36" spans="2:36" s="9" customFormat="1" ht="20.25" x14ac:dyDescent="0.3">
      <c r="B36" s="24">
        <v>16</v>
      </c>
      <c r="C36" s="146"/>
      <c r="D36" s="146"/>
      <c r="E36" s="146"/>
      <c r="F36" s="146"/>
      <c r="G36" s="146"/>
      <c r="H36" s="147"/>
      <c r="I36" s="148"/>
      <c r="J36" s="149"/>
      <c r="K36" s="147"/>
      <c r="L36" s="147"/>
      <c r="M36" s="146"/>
      <c r="N36" s="150"/>
      <c r="O36" s="151"/>
      <c r="P36" s="151"/>
      <c r="Q36" s="151"/>
      <c r="R36" s="151"/>
      <c r="S36" s="147"/>
      <c r="T36" s="147"/>
      <c r="U36" s="147"/>
      <c r="V36" s="147"/>
      <c r="W36" s="146"/>
      <c r="X36" s="146"/>
      <c r="Y36" s="146"/>
      <c r="Z36" s="146"/>
      <c r="AA36" s="146"/>
      <c r="AB36" s="147"/>
      <c r="AC36" s="148"/>
      <c r="AD36" s="152"/>
      <c r="AE36" s="152"/>
      <c r="AF36" s="153"/>
      <c r="AG36" s="274"/>
      <c r="AH36" s="153"/>
      <c r="AI36" s="139">
        <f t="shared" si="0"/>
        <v>0</v>
      </c>
      <c r="AJ36" s="8"/>
    </row>
    <row r="37" spans="2:36" s="9" customFormat="1" ht="20.25" x14ac:dyDescent="0.3">
      <c r="B37" s="24">
        <v>17</v>
      </c>
      <c r="C37" s="146"/>
      <c r="D37" s="146"/>
      <c r="E37" s="146"/>
      <c r="F37" s="146"/>
      <c r="G37" s="146"/>
      <c r="H37" s="147"/>
      <c r="I37" s="148"/>
      <c r="J37" s="149"/>
      <c r="K37" s="147"/>
      <c r="L37" s="147"/>
      <c r="M37" s="146"/>
      <c r="N37" s="150"/>
      <c r="O37" s="151"/>
      <c r="P37" s="151"/>
      <c r="Q37" s="151"/>
      <c r="R37" s="151"/>
      <c r="S37" s="147"/>
      <c r="T37" s="147"/>
      <c r="U37" s="147"/>
      <c r="V37" s="147"/>
      <c r="W37" s="146"/>
      <c r="X37" s="146"/>
      <c r="Y37" s="146"/>
      <c r="Z37" s="146"/>
      <c r="AA37" s="146"/>
      <c r="AB37" s="147"/>
      <c r="AC37" s="148"/>
      <c r="AD37" s="152"/>
      <c r="AE37" s="152"/>
      <c r="AF37" s="153"/>
      <c r="AG37" s="274"/>
      <c r="AH37" s="153"/>
      <c r="AI37" s="139">
        <f t="shared" si="0"/>
        <v>0</v>
      </c>
      <c r="AJ37" s="8"/>
    </row>
    <row r="38" spans="2:36" s="9" customFormat="1" ht="20.25" x14ac:dyDescent="0.3">
      <c r="B38" s="24">
        <v>18</v>
      </c>
      <c r="C38" s="146"/>
      <c r="D38" s="146"/>
      <c r="E38" s="146"/>
      <c r="F38" s="146"/>
      <c r="G38" s="146"/>
      <c r="H38" s="147"/>
      <c r="I38" s="148"/>
      <c r="J38" s="149"/>
      <c r="K38" s="147"/>
      <c r="L38" s="147"/>
      <c r="M38" s="146"/>
      <c r="N38" s="150"/>
      <c r="O38" s="151"/>
      <c r="P38" s="151"/>
      <c r="Q38" s="151"/>
      <c r="R38" s="151"/>
      <c r="S38" s="147"/>
      <c r="T38" s="147"/>
      <c r="U38" s="147"/>
      <c r="V38" s="147"/>
      <c r="W38" s="146"/>
      <c r="X38" s="146"/>
      <c r="Y38" s="146"/>
      <c r="Z38" s="146"/>
      <c r="AA38" s="146"/>
      <c r="AB38" s="147"/>
      <c r="AC38" s="148"/>
      <c r="AD38" s="152"/>
      <c r="AE38" s="152"/>
      <c r="AF38" s="153"/>
      <c r="AG38" s="274"/>
      <c r="AH38" s="153"/>
      <c r="AI38" s="139">
        <f t="shared" si="0"/>
        <v>0</v>
      </c>
      <c r="AJ38" s="8"/>
    </row>
    <row r="39" spans="2:36" s="9" customFormat="1" ht="20.25" x14ac:dyDescent="0.3">
      <c r="B39" s="24">
        <v>19</v>
      </c>
      <c r="C39" s="146"/>
      <c r="D39" s="146"/>
      <c r="E39" s="146"/>
      <c r="F39" s="146"/>
      <c r="G39" s="146"/>
      <c r="H39" s="147"/>
      <c r="I39" s="148"/>
      <c r="J39" s="149"/>
      <c r="K39" s="147"/>
      <c r="L39" s="147"/>
      <c r="M39" s="146"/>
      <c r="N39" s="150"/>
      <c r="O39" s="151"/>
      <c r="P39" s="151"/>
      <c r="Q39" s="151"/>
      <c r="R39" s="151"/>
      <c r="S39" s="147"/>
      <c r="T39" s="147"/>
      <c r="U39" s="147"/>
      <c r="V39" s="147"/>
      <c r="W39" s="146"/>
      <c r="X39" s="146"/>
      <c r="Y39" s="146"/>
      <c r="Z39" s="146"/>
      <c r="AA39" s="146"/>
      <c r="AB39" s="147"/>
      <c r="AC39" s="148"/>
      <c r="AD39" s="152"/>
      <c r="AE39" s="152"/>
      <c r="AF39" s="153"/>
      <c r="AG39" s="274"/>
      <c r="AH39" s="153"/>
      <c r="AI39" s="139">
        <f t="shared" si="0"/>
        <v>0</v>
      </c>
      <c r="AJ39" s="8"/>
    </row>
    <row r="40" spans="2:36" s="9" customFormat="1" ht="20.25" x14ac:dyDescent="0.3">
      <c r="B40" s="24">
        <v>20</v>
      </c>
      <c r="C40" s="146"/>
      <c r="D40" s="146"/>
      <c r="E40" s="146"/>
      <c r="F40" s="146"/>
      <c r="G40" s="146"/>
      <c r="H40" s="147"/>
      <c r="I40" s="148"/>
      <c r="J40" s="149"/>
      <c r="K40" s="147"/>
      <c r="L40" s="147"/>
      <c r="M40" s="146"/>
      <c r="N40" s="150"/>
      <c r="O40" s="151"/>
      <c r="P40" s="151"/>
      <c r="Q40" s="151"/>
      <c r="R40" s="151"/>
      <c r="S40" s="147"/>
      <c r="T40" s="147"/>
      <c r="U40" s="147"/>
      <c r="V40" s="147"/>
      <c r="W40" s="146"/>
      <c r="X40" s="146"/>
      <c r="Y40" s="146"/>
      <c r="Z40" s="146"/>
      <c r="AA40" s="146"/>
      <c r="AB40" s="147"/>
      <c r="AC40" s="148"/>
      <c r="AD40" s="152"/>
      <c r="AE40" s="152"/>
      <c r="AF40" s="153"/>
      <c r="AG40" s="274"/>
      <c r="AH40" s="153"/>
      <c r="AI40" s="139">
        <f t="shared" si="0"/>
        <v>0</v>
      </c>
      <c r="AJ40" s="8"/>
    </row>
    <row r="41" spans="2:36" s="9" customFormat="1" ht="20.25" x14ac:dyDescent="0.3">
      <c r="B41" s="24">
        <v>21</v>
      </c>
      <c r="C41" s="146"/>
      <c r="D41" s="146"/>
      <c r="E41" s="146"/>
      <c r="F41" s="146"/>
      <c r="G41" s="146"/>
      <c r="H41" s="147"/>
      <c r="I41" s="148"/>
      <c r="J41" s="149"/>
      <c r="K41" s="147"/>
      <c r="L41" s="147"/>
      <c r="M41" s="146"/>
      <c r="N41" s="150"/>
      <c r="O41" s="151"/>
      <c r="P41" s="151"/>
      <c r="Q41" s="151"/>
      <c r="R41" s="151"/>
      <c r="S41" s="147"/>
      <c r="T41" s="147"/>
      <c r="U41" s="147"/>
      <c r="V41" s="147"/>
      <c r="W41" s="146"/>
      <c r="X41" s="146"/>
      <c r="Y41" s="146"/>
      <c r="Z41" s="146"/>
      <c r="AA41" s="146"/>
      <c r="AB41" s="147"/>
      <c r="AC41" s="148"/>
      <c r="AD41" s="152"/>
      <c r="AE41" s="152"/>
      <c r="AF41" s="153"/>
      <c r="AG41" s="274"/>
      <c r="AH41" s="153"/>
      <c r="AI41" s="139">
        <f t="shared" si="0"/>
        <v>0</v>
      </c>
      <c r="AJ41" s="8"/>
    </row>
    <row r="42" spans="2:36" s="9" customFormat="1" ht="20.25" x14ac:dyDescent="0.3">
      <c r="B42" s="24">
        <v>22</v>
      </c>
      <c r="C42" s="146"/>
      <c r="D42" s="146"/>
      <c r="E42" s="146"/>
      <c r="F42" s="146"/>
      <c r="G42" s="146"/>
      <c r="H42" s="147"/>
      <c r="I42" s="148"/>
      <c r="J42" s="149"/>
      <c r="K42" s="147"/>
      <c r="L42" s="147"/>
      <c r="M42" s="146"/>
      <c r="N42" s="150"/>
      <c r="O42" s="151"/>
      <c r="P42" s="151"/>
      <c r="Q42" s="151"/>
      <c r="R42" s="151"/>
      <c r="S42" s="147"/>
      <c r="T42" s="147"/>
      <c r="U42" s="147"/>
      <c r="V42" s="147"/>
      <c r="W42" s="146"/>
      <c r="X42" s="146"/>
      <c r="Y42" s="146"/>
      <c r="Z42" s="146"/>
      <c r="AA42" s="146"/>
      <c r="AB42" s="147"/>
      <c r="AC42" s="148"/>
      <c r="AD42" s="152"/>
      <c r="AE42" s="152"/>
      <c r="AF42" s="153"/>
      <c r="AG42" s="274"/>
      <c r="AH42" s="153"/>
      <c r="AI42" s="139">
        <f t="shared" si="0"/>
        <v>0</v>
      </c>
      <c r="AJ42" s="8"/>
    </row>
    <row r="43" spans="2:36" s="9" customFormat="1" ht="20.25" x14ac:dyDescent="0.3">
      <c r="B43" s="24">
        <v>23</v>
      </c>
      <c r="C43" s="146"/>
      <c r="D43" s="146"/>
      <c r="E43" s="146"/>
      <c r="F43" s="146"/>
      <c r="G43" s="146"/>
      <c r="H43" s="147"/>
      <c r="I43" s="148"/>
      <c r="J43" s="149"/>
      <c r="K43" s="147"/>
      <c r="L43" s="147"/>
      <c r="M43" s="146"/>
      <c r="N43" s="150"/>
      <c r="O43" s="151"/>
      <c r="P43" s="151"/>
      <c r="Q43" s="151"/>
      <c r="R43" s="151"/>
      <c r="S43" s="147"/>
      <c r="T43" s="147"/>
      <c r="U43" s="147"/>
      <c r="V43" s="147"/>
      <c r="W43" s="146"/>
      <c r="X43" s="146"/>
      <c r="Y43" s="146"/>
      <c r="Z43" s="146"/>
      <c r="AA43" s="146"/>
      <c r="AB43" s="147"/>
      <c r="AC43" s="148"/>
      <c r="AD43" s="152"/>
      <c r="AE43" s="152"/>
      <c r="AF43" s="153"/>
      <c r="AG43" s="274"/>
      <c r="AH43" s="153"/>
      <c r="AI43" s="139">
        <f t="shared" si="0"/>
        <v>0</v>
      </c>
      <c r="AJ43" s="8"/>
    </row>
    <row r="44" spans="2:36" s="9" customFormat="1" ht="20.25" x14ac:dyDescent="0.3">
      <c r="B44" s="24">
        <v>24</v>
      </c>
      <c r="C44" s="146"/>
      <c r="D44" s="146"/>
      <c r="E44" s="146"/>
      <c r="F44" s="146"/>
      <c r="G44" s="146"/>
      <c r="H44" s="147"/>
      <c r="I44" s="148"/>
      <c r="J44" s="149"/>
      <c r="K44" s="147"/>
      <c r="L44" s="147"/>
      <c r="M44" s="146"/>
      <c r="N44" s="150"/>
      <c r="O44" s="151"/>
      <c r="P44" s="151"/>
      <c r="Q44" s="151"/>
      <c r="R44" s="151"/>
      <c r="S44" s="147"/>
      <c r="T44" s="147"/>
      <c r="U44" s="147"/>
      <c r="V44" s="147"/>
      <c r="W44" s="146"/>
      <c r="X44" s="146"/>
      <c r="Y44" s="146"/>
      <c r="Z44" s="146"/>
      <c r="AA44" s="146"/>
      <c r="AB44" s="147"/>
      <c r="AC44" s="148"/>
      <c r="AD44" s="152"/>
      <c r="AE44" s="152"/>
      <c r="AF44" s="153"/>
      <c r="AG44" s="274"/>
      <c r="AH44" s="153"/>
      <c r="AI44" s="139">
        <f t="shared" ref="AI44:AI65" si="1">C44*D44/1000000*E44</f>
        <v>0</v>
      </c>
      <c r="AJ44" s="8"/>
    </row>
    <row r="45" spans="2:36" s="9" customFormat="1" ht="20.25" x14ac:dyDescent="0.3">
      <c r="B45" s="24">
        <v>25</v>
      </c>
      <c r="C45" s="146"/>
      <c r="D45" s="146"/>
      <c r="E45" s="146"/>
      <c r="F45" s="146"/>
      <c r="G45" s="146"/>
      <c r="H45" s="147"/>
      <c r="I45" s="148"/>
      <c r="J45" s="149"/>
      <c r="K45" s="147"/>
      <c r="L45" s="147"/>
      <c r="M45" s="146"/>
      <c r="N45" s="150"/>
      <c r="O45" s="151"/>
      <c r="P45" s="151"/>
      <c r="Q45" s="151"/>
      <c r="R45" s="151"/>
      <c r="S45" s="147"/>
      <c r="T45" s="147"/>
      <c r="U45" s="147"/>
      <c r="V45" s="147"/>
      <c r="W45" s="146"/>
      <c r="X45" s="146"/>
      <c r="Y45" s="146"/>
      <c r="Z45" s="146"/>
      <c r="AA45" s="146"/>
      <c r="AB45" s="147"/>
      <c r="AC45" s="148"/>
      <c r="AD45" s="152"/>
      <c r="AE45" s="152"/>
      <c r="AF45" s="153"/>
      <c r="AG45" s="274"/>
      <c r="AH45" s="153"/>
      <c r="AI45" s="139">
        <f t="shared" si="1"/>
        <v>0</v>
      </c>
      <c r="AJ45" s="8"/>
    </row>
    <row r="46" spans="2:36" s="9" customFormat="1" ht="20.25" x14ac:dyDescent="0.3">
      <c r="B46" s="24">
        <v>26</v>
      </c>
      <c r="C46" s="146"/>
      <c r="D46" s="146"/>
      <c r="E46" s="146"/>
      <c r="F46" s="146"/>
      <c r="G46" s="146"/>
      <c r="H46" s="147"/>
      <c r="I46" s="148"/>
      <c r="J46" s="149"/>
      <c r="K46" s="147"/>
      <c r="L46" s="147"/>
      <c r="M46" s="146"/>
      <c r="N46" s="150"/>
      <c r="O46" s="151"/>
      <c r="P46" s="151"/>
      <c r="Q46" s="151"/>
      <c r="R46" s="151"/>
      <c r="S46" s="147"/>
      <c r="T46" s="147"/>
      <c r="U46" s="147"/>
      <c r="V46" s="147"/>
      <c r="W46" s="146"/>
      <c r="X46" s="146"/>
      <c r="Y46" s="146"/>
      <c r="Z46" s="146"/>
      <c r="AA46" s="146"/>
      <c r="AB46" s="147"/>
      <c r="AC46" s="148"/>
      <c r="AD46" s="152"/>
      <c r="AE46" s="152"/>
      <c r="AF46" s="153"/>
      <c r="AG46" s="274"/>
      <c r="AH46" s="153"/>
      <c r="AI46" s="139">
        <f t="shared" si="1"/>
        <v>0</v>
      </c>
      <c r="AJ46" s="8"/>
    </row>
    <row r="47" spans="2:36" s="9" customFormat="1" ht="20.25" x14ac:dyDescent="0.3">
      <c r="B47" s="24">
        <v>27</v>
      </c>
      <c r="C47" s="146"/>
      <c r="D47" s="146"/>
      <c r="E47" s="146"/>
      <c r="F47" s="146"/>
      <c r="G47" s="146"/>
      <c r="H47" s="147"/>
      <c r="I47" s="148"/>
      <c r="J47" s="149"/>
      <c r="K47" s="147"/>
      <c r="L47" s="147"/>
      <c r="M47" s="146"/>
      <c r="N47" s="150"/>
      <c r="O47" s="151"/>
      <c r="P47" s="151"/>
      <c r="Q47" s="151"/>
      <c r="R47" s="151"/>
      <c r="S47" s="147"/>
      <c r="T47" s="147"/>
      <c r="U47" s="147"/>
      <c r="V47" s="147"/>
      <c r="W47" s="146"/>
      <c r="X47" s="146"/>
      <c r="Y47" s="146"/>
      <c r="Z47" s="146"/>
      <c r="AA47" s="146"/>
      <c r="AB47" s="147"/>
      <c r="AC47" s="148"/>
      <c r="AD47" s="152"/>
      <c r="AE47" s="152"/>
      <c r="AF47" s="153"/>
      <c r="AG47" s="274"/>
      <c r="AH47" s="153"/>
      <c r="AI47" s="139">
        <f t="shared" si="1"/>
        <v>0</v>
      </c>
      <c r="AJ47" s="8"/>
    </row>
    <row r="48" spans="2:36" s="9" customFormat="1" ht="20.25" x14ac:dyDescent="0.3">
      <c r="B48" s="24">
        <v>28</v>
      </c>
      <c r="C48" s="146"/>
      <c r="D48" s="146"/>
      <c r="E48" s="146"/>
      <c r="F48" s="146"/>
      <c r="G48" s="146"/>
      <c r="H48" s="147"/>
      <c r="I48" s="148"/>
      <c r="J48" s="149"/>
      <c r="K48" s="147"/>
      <c r="L48" s="147"/>
      <c r="M48" s="146"/>
      <c r="N48" s="150"/>
      <c r="O48" s="151"/>
      <c r="P48" s="151"/>
      <c r="Q48" s="151"/>
      <c r="R48" s="151"/>
      <c r="S48" s="147"/>
      <c r="T48" s="147"/>
      <c r="U48" s="147"/>
      <c r="V48" s="147"/>
      <c r="W48" s="146"/>
      <c r="X48" s="146"/>
      <c r="Y48" s="146"/>
      <c r="Z48" s="146"/>
      <c r="AA48" s="146"/>
      <c r="AB48" s="147"/>
      <c r="AC48" s="148"/>
      <c r="AD48" s="152"/>
      <c r="AE48" s="152"/>
      <c r="AF48" s="153"/>
      <c r="AG48" s="274"/>
      <c r="AH48" s="153"/>
      <c r="AI48" s="139">
        <f t="shared" si="1"/>
        <v>0</v>
      </c>
      <c r="AJ48" s="8"/>
    </row>
    <row r="49" spans="2:36" s="9" customFormat="1" ht="20.25" x14ac:dyDescent="0.3">
      <c r="B49" s="24">
        <v>29</v>
      </c>
      <c r="C49" s="146"/>
      <c r="D49" s="146"/>
      <c r="E49" s="146"/>
      <c r="F49" s="146"/>
      <c r="G49" s="146"/>
      <c r="H49" s="147"/>
      <c r="I49" s="148"/>
      <c r="J49" s="149"/>
      <c r="K49" s="147"/>
      <c r="L49" s="147"/>
      <c r="M49" s="146"/>
      <c r="N49" s="150"/>
      <c r="O49" s="151"/>
      <c r="P49" s="151"/>
      <c r="Q49" s="151"/>
      <c r="R49" s="151"/>
      <c r="S49" s="147"/>
      <c r="T49" s="147"/>
      <c r="U49" s="147"/>
      <c r="V49" s="147"/>
      <c r="W49" s="146"/>
      <c r="X49" s="146"/>
      <c r="Y49" s="146"/>
      <c r="Z49" s="146"/>
      <c r="AA49" s="146"/>
      <c r="AB49" s="147"/>
      <c r="AC49" s="148"/>
      <c r="AD49" s="152"/>
      <c r="AE49" s="152"/>
      <c r="AF49" s="153"/>
      <c r="AG49" s="274"/>
      <c r="AH49" s="153"/>
      <c r="AI49" s="139">
        <f t="shared" si="1"/>
        <v>0</v>
      </c>
      <c r="AJ49" s="8"/>
    </row>
    <row r="50" spans="2:36" s="9" customFormat="1" ht="20.25" x14ac:dyDescent="0.3">
      <c r="B50" s="24">
        <v>30</v>
      </c>
      <c r="C50" s="146"/>
      <c r="D50" s="146"/>
      <c r="E50" s="146"/>
      <c r="F50" s="146"/>
      <c r="G50" s="146"/>
      <c r="H50" s="147"/>
      <c r="I50" s="148"/>
      <c r="J50" s="149"/>
      <c r="K50" s="147"/>
      <c r="L50" s="147"/>
      <c r="M50" s="146"/>
      <c r="N50" s="150"/>
      <c r="O50" s="151"/>
      <c r="P50" s="151"/>
      <c r="Q50" s="151"/>
      <c r="R50" s="151"/>
      <c r="S50" s="147"/>
      <c r="T50" s="147"/>
      <c r="U50" s="147"/>
      <c r="V50" s="147"/>
      <c r="W50" s="146"/>
      <c r="X50" s="146"/>
      <c r="Y50" s="146"/>
      <c r="Z50" s="146"/>
      <c r="AA50" s="146"/>
      <c r="AB50" s="147"/>
      <c r="AC50" s="148"/>
      <c r="AD50" s="152"/>
      <c r="AE50" s="152"/>
      <c r="AF50" s="153"/>
      <c r="AG50" s="274"/>
      <c r="AH50" s="153"/>
      <c r="AI50" s="139">
        <f t="shared" si="1"/>
        <v>0</v>
      </c>
      <c r="AJ50" s="8"/>
    </row>
    <row r="51" spans="2:36" s="9" customFormat="1" ht="20.25" x14ac:dyDescent="0.3">
      <c r="B51" s="24">
        <v>31</v>
      </c>
      <c r="C51" s="146"/>
      <c r="D51" s="146"/>
      <c r="E51" s="146"/>
      <c r="F51" s="146"/>
      <c r="G51" s="146"/>
      <c r="H51" s="147"/>
      <c r="I51" s="148"/>
      <c r="J51" s="149"/>
      <c r="K51" s="147"/>
      <c r="L51" s="147"/>
      <c r="M51" s="146"/>
      <c r="N51" s="150"/>
      <c r="O51" s="151"/>
      <c r="P51" s="151"/>
      <c r="Q51" s="151"/>
      <c r="R51" s="151"/>
      <c r="S51" s="147"/>
      <c r="T51" s="147"/>
      <c r="U51" s="147"/>
      <c r="V51" s="147"/>
      <c r="W51" s="146"/>
      <c r="X51" s="146"/>
      <c r="Y51" s="146"/>
      <c r="Z51" s="146"/>
      <c r="AA51" s="146"/>
      <c r="AB51" s="147"/>
      <c r="AC51" s="148"/>
      <c r="AD51" s="152"/>
      <c r="AE51" s="152"/>
      <c r="AF51" s="153"/>
      <c r="AG51" s="274"/>
      <c r="AH51" s="153"/>
      <c r="AI51" s="139">
        <f t="shared" si="1"/>
        <v>0</v>
      </c>
      <c r="AJ51" s="8"/>
    </row>
    <row r="52" spans="2:36" s="9" customFormat="1" ht="20.25" x14ac:dyDescent="0.3">
      <c r="B52" s="24">
        <v>32</v>
      </c>
      <c r="C52" s="146"/>
      <c r="D52" s="146"/>
      <c r="E52" s="146"/>
      <c r="F52" s="146"/>
      <c r="G52" s="146"/>
      <c r="H52" s="147"/>
      <c r="I52" s="148"/>
      <c r="J52" s="149"/>
      <c r="K52" s="147"/>
      <c r="L52" s="147"/>
      <c r="M52" s="146"/>
      <c r="N52" s="150"/>
      <c r="O52" s="151"/>
      <c r="P52" s="151"/>
      <c r="Q52" s="151"/>
      <c r="R52" s="151"/>
      <c r="S52" s="147"/>
      <c r="T52" s="147"/>
      <c r="U52" s="147"/>
      <c r="V52" s="147"/>
      <c r="W52" s="146"/>
      <c r="X52" s="146"/>
      <c r="Y52" s="146"/>
      <c r="Z52" s="146"/>
      <c r="AA52" s="146"/>
      <c r="AB52" s="147"/>
      <c r="AC52" s="148"/>
      <c r="AD52" s="152"/>
      <c r="AE52" s="152"/>
      <c r="AF52" s="153"/>
      <c r="AG52" s="274"/>
      <c r="AH52" s="153"/>
      <c r="AI52" s="139">
        <f t="shared" si="1"/>
        <v>0</v>
      </c>
      <c r="AJ52" s="8"/>
    </row>
    <row r="53" spans="2:36" s="9" customFormat="1" ht="20.25" x14ac:dyDescent="0.3">
      <c r="B53" s="24">
        <v>33</v>
      </c>
      <c r="C53" s="146"/>
      <c r="D53" s="146"/>
      <c r="E53" s="146"/>
      <c r="F53" s="146"/>
      <c r="G53" s="146"/>
      <c r="H53" s="147"/>
      <c r="I53" s="148"/>
      <c r="J53" s="149"/>
      <c r="K53" s="147"/>
      <c r="L53" s="147"/>
      <c r="M53" s="146"/>
      <c r="N53" s="150"/>
      <c r="O53" s="151"/>
      <c r="P53" s="151"/>
      <c r="Q53" s="151"/>
      <c r="R53" s="151"/>
      <c r="S53" s="147"/>
      <c r="T53" s="147"/>
      <c r="U53" s="147"/>
      <c r="V53" s="147"/>
      <c r="W53" s="146"/>
      <c r="X53" s="146"/>
      <c r="Y53" s="146"/>
      <c r="Z53" s="146"/>
      <c r="AA53" s="146"/>
      <c r="AB53" s="147"/>
      <c r="AC53" s="148"/>
      <c r="AD53" s="152"/>
      <c r="AE53" s="152"/>
      <c r="AF53" s="153"/>
      <c r="AG53" s="274"/>
      <c r="AH53" s="153"/>
      <c r="AI53" s="139">
        <f t="shared" si="1"/>
        <v>0</v>
      </c>
      <c r="AJ53" s="8"/>
    </row>
    <row r="54" spans="2:36" s="9" customFormat="1" ht="20.25" x14ac:dyDescent="0.3">
      <c r="B54" s="24">
        <v>34</v>
      </c>
      <c r="C54" s="146"/>
      <c r="D54" s="146"/>
      <c r="E54" s="146"/>
      <c r="F54" s="146"/>
      <c r="G54" s="146"/>
      <c r="H54" s="147"/>
      <c r="I54" s="148"/>
      <c r="J54" s="149"/>
      <c r="K54" s="147"/>
      <c r="L54" s="147"/>
      <c r="M54" s="146"/>
      <c r="N54" s="150"/>
      <c r="O54" s="151"/>
      <c r="P54" s="151"/>
      <c r="Q54" s="151"/>
      <c r="R54" s="151"/>
      <c r="S54" s="147"/>
      <c r="T54" s="147"/>
      <c r="U54" s="147"/>
      <c r="V54" s="147"/>
      <c r="W54" s="146"/>
      <c r="X54" s="146"/>
      <c r="Y54" s="146"/>
      <c r="Z54" s="146"/>
      <c r="AA54" s="146"/>
      <c r="AB54" s="147"/>
      <c r="AC54" s="148"/>
      <c r="AD54" s="152"/>
      <c r="AE54" s="152"/>
      <c r="AF54" s="153"/>
      <c r="AG54" s="274"/>
      <c r="AH54" s="153"/>
      <c r="AI54" s="139">
        <f t="shared" ref="AI54:AI63" si="2">C54*D54/1000000*E54</f>
        <v>0</v>
      </c>
      <c r="AJ54" s="8"/>
    </row>
    <row r="55" spans="2:36" s="9" customFormat="1" ht="20.25" x14ac:dyDescent="0.3">
      <c r="B55" s="24">
        <v>35</v>
      </c>
      <c r="C55" s="146"/>
      <c r="D55" s="146"/>
      <c r="E55" s="146"/>
      <c r="F55" s="146"/>
      <c r="G55" s="146"/>
      <c r="H55" s="147"/>
      <c r="I55" s="148"/>
      <c r="J55" s="149"/>
      <c r="K55" s="147"/>
      <c r="L55" s="147"/>
      <c r="M55" s="146"/>
      <c r="N55" s="150"/>
      <c r="O55" s="151"/>
      <c r="P55" s="151"/>
      <c r="Q55" s="151"/>
      <c r="R55" s="151"/>
      <c r="S55" s="147"/>
      <c r="T55" s="147"/>
      <c r="U55" s="147"/>
      <c r="V55" s="147"/>
      <c r="W55" s="146"/>
      <c r="X55" s="146"/>
      <c r="Y55" s="146"/>
      <c r="Z55" s="146"/>
      <c r="AA55" s="146"/>
      <c r="AB55" s="147"/>
      <c r="AC55" s="148"/>
      <c r="AD55" s="152"/>
      <c r="AE55" s="152"/>
      <c r="AF55" s="153"/>
      <c r="AG55" s="274"/>
      <c r="AH55" s="153"/>
      <c r="AI55" s="139">
        <f t="shared" si="2"/>
        <v>0</v>
      </c>
      <c r="AJ55" s="8"/>
    </row>
    <row r="56" spans="2:36" s="9" customFormat="1" ht="20.25" x14ac:dyDescent="0.3">
      <c r="B56" s="24">
        <v>36</v>
      </c>
      <c r="C56" s="146"/>
      <c r="D56" s="146"/>
      <c r="E56" s="146"/>
      <c r="F56" s="146"/>
      <c r="G56" s="146"/>
      <c r="H56" s="147"/>
      <c r="I56" s="148"/>
      <c r="J56" s="149"/>
      <c r="K56" s="147"/>
      <c r="L56" s="147"/>
      <c r="M56" s="146"/>
      <c r="N56" s="150"/>
      <c r="O56" s="151"/>
      <c r="P56" s="151"/>
      <c r="Q56" s="151"/>
      <c r="R56" s="151"/>
      <c r="S56" s="147"/>
      <c r="T56" s="147"/>
      <c r="U56" s="147"/>
      <c r="V56" s="147"/>
      <c r="W56" s="146"/>
      <c r="X56" s="146"/>
      <c r="Y56" s="146"/>
      <c r="Z56" s="146"/>
      <c r="AA56" s="146"/>
      <c r="AB56" s="147"/>
      <c r="AC56" s="148"/>
      <c r="AD56" s="152"/>
      <c r="AE56" s="152"/>
      <c r="AF56" s="153"/>
      <c r="AG56" s="274"/>
      <c r="AH56" s="153"/>
      <c r="AI56" s="139">
        <f t="shared" si="2"/>
        <v>0</v>
      </c>
      <c r="AJ56" s="8"/>
    </row>
    <row r="57" spans="2:36" s="9" customFormat="1" ht="20.25" x14ac:dyDescent="0.3">
      <c r="B57" s="24">
        <v>37</v>
      </c>
      <c r="C57" s="146"/>
      <c r="D57" s="146"/>
      <c r="E57" s="146"/>
      <c r="F57" s="146"/>
      <c r="G57" s="146"/>
      <c r="H57" s="147"/>
      <c r="I57" s="148"/>
      <c r="J57" s="149"/>
      <c r="K57" s="147"/>
      <c r="L57" s="147"/>
      <c r="M57" s="146"/>
      <c r="N57" s="150"/>
      <c r="O57" s="151"/>
      <c r="P57" s="151"/>
      <c r="Q57" s="151"/>
      <c r="R57" s="151"/>
      <c r="S57" s="147"/>
      <c r="T57" s="147"/>
      <c r="U57" s="147"/>
      <c r="V57" s="147"/>
      <c r="W57" s="146"/>
      <c r="X57" s="146"/>
      <c r="Y57" s="146"/>
      <c r="Z57" s="146"/>
      <c r="AA57" s="146"/>
      <c r="AB57" s="147"/>
      <c r="AC57" s="148"/>
      <c r="AD57" s="152"/>
      <c r="AE57" s="152"/>
      <c r="AF57" s="153"/>
      <c r="AG57" s="274"/>
      <c r="AH57" s="153"/>
      <c r="AI57" s="139">
        <f t="shared" si="2"/>
        <v>0</v>
      </c>
      <c r="AJ57" s="8"/>
    </row>
    <row r="58" spans="2:36" s="9" customFormat="1" ht="20.25" x14ac:dyDescent="0.3">
      <c r="B58" s="24">
        <v>38</v>
      </c>
      <c r="C58" s="146"/>
      <c r="D58" s="146"/>
      <c r="E58" s="146"/>
      <c r="F58" s="146"/>
      <c r="G58" s="146"/>
      <c r="H58" s="147"/>
      <c r="I58" s="148"/>
      <c r="J58" s="149"/>
      <c r="K58" s="147"/>
      <c r="L58" s="147"/>
      <c r="M58" s="146"/>
      <c r="N58" s="150"/>
      <c r="O58" s="151"/>
      <c r="P58" s="151"/>
      <c r="Q58" s="151"/>
      <c r="R58" s="151"/>
      <c r="S58" s="147"/>
      <c r="T58" s="147"/>
      <c r="U58" s="147"/>
      <c r="V58" s="147"/>
      <c r="W58" s="146"/>
      <c r="X58" s="146"/>
      <c r="Y58" s="146"/>
      <c r="Z58" s="146"/>
      <c r="AA58" s="146"/>
      <c r="AB58" s="147"/>
      <c r="AC58" s="148"/>
      <c r="AD58" s="152"/>
      <c r="AE58" s="152"/>
      <c r="AF58" s="153"/>
      <c r="AG58" s="274"/>
      <c r="AH58" s="153"/>
      <c r="AI58" s="139">
        <f t="shared" si="2"/>
        <v>0</v>
      </c>
      <c r="AJ58" s="8"/>
    </row>
    <row r="59" spans="2:36" s="9" customFormat="1" ht="20.25" x14ac:dyDescent="0.3">
      <c r="B59" s="24">
        <v>39</v>
      </c>
      <c r="C59" s="146"/>
      <c r="D59" s="146"/>
      <c r="E59" s="146"/>
      <c r="F59" s="146"/>
      <c r="G59" s="146"/>
      <c r="H59" s="147"/>
      <c r="I59" s="148"/>
      <c r="J59" s="149"/>
      <c r="K59" s="147"/>
      <c r="L59" s="147"/>
      <c r="M59" s="146"/>
      <c r="N59" s="150"/>
      <c r="O59" s="151"/>
      <c r="P59" s="151"/>
      <c r="Q59" s="151"/>
      <c r="R59" s="151"/>
      <c r="S59" s="147"/>
      <c r="T59" s="147"/>
      <c r="U59" s="147"/>
      <c r="V59" s="147"/>
      <c r="W59" s="146"/>
      <c r="X59" s="146"/>
      <c r="Y59" s="146"/>
      <c r="Z59" s="146"/>
      <c r="AA59" s="146"/>
      <c r="AB59" s="147"/>
      <c r="AC59" s="148"/>
      <c r="AD59" s="152"/>
      <c r="AE59" s="152"/>
      <c r="AF59" s="153"/>
      <c r="AG59" s="274"/>
      <c r="AH59" s="153"/>
      <c r="AI59" s="139">
        <f t="shared" si="2"/>
        <v>0</v>
      </c>
      <c r="AJ59" s="8"/>
    </row>
    <row r="60" spans="2:36" s="9" customFormat="1" ht="20.25" x14ac:dyDescent="0.3">
      <c r="B60" s="24">
        <v>40</v>
      </c>
      <c r="C60" s="146"/>
      <c r="D60" s="146"/>
      <c r="E60" s="146"/>
      <c r="F60" s="146"/>
      <c r="G60" s="146"/>
      <c r="H60" s="147"/>
      <c r="I60" s="148"/>
      <c r="J60" s="149"/>
      <c r="K60" s="147"/>
      <c r="L60" s="147"/>
      <c r="M60" s="146"/>
      <c r="N60" s="150"/>
      <c r="O60" s="151"/>
      <c r="P60" s="151"/>
      <c r="Q60" s="151"/>
      <c r="R60" s="151"/>
      <c r="S60" s="147"/>
      <c r="T60" s="147"/>
      <c r="U60" s="147"/>
      <c r="V60" s="147"/>
      <c r="W60" s="146"/>
      <c r="X60" s="146"/>
      <c r="Y60" s="146"/>
      <c r="Z60" s="146"/>
      <c r="AA60" s="146"/>
      <c r="AB60" s="147"/>
      <c r="AC60" s="148"/>
      <c r="AD60" s="152"/>
      <c r="AE60" s="152"/>
      <c r="AF60" s="153"/>
      <c r="AG60" s="274"/>
      <c r="AH60" s="153"/>
      <c r="AI60" s="139">
        <f t="shared" si="2"/>
        <v>0</v>
      </c>
      <c r="AJ60" s="8"/>
    </row>
    <row r="61" spans="2:36" s="9" customFormat="1" ht="20.25" x14ac:dyDescent="0.3">
      <c r="B61" s="24">
        <v>41</v>
      </c>
      <c r="C61" s="146"/>
      <c r="D61" s="146"/>
      <c r="E61" s="146"/>
      <c r="F61" s="146"/>
      <c r="G61" s="146"/>
      <c r="H61" s="147"/>
      <c r="I61" s="148"/>
      <c r="J61" s="149"/>
      <c r="K61" s="147"/>
      <c r="L61" s="147"/>
      <c r="M61" s="146"/>
      <c r="N61" s="150"/>
      <c r="O61" s="151"/>
      <c r="P61" s="151"/>
      <c r="Q61" s="151"/>
      <c r="R61" s="151"/>
      <c r="S61" s="147"/>
      <c r="T61" s="147"/>
      <c r="U61" s="147"/>
      <c r="V61" s="147"/>
      <c r="W61" s="146"/>
      <c r="X61" s="146"/>
      <c r="Y61" s="146"/>
      <c r="Z61" s="146"/>
      <c r="AA61" s="146"/>
      <c r="AB61" s="147"/>
      <c r="AC61" s="148"/>
      <c r="AD61" s="152"/>
      <c r="AE61" s="152"/>
      <c r="AF61" s="153"/>
      <c r="AG61" s="274"/>
      <c r="AH61" s="153"/>
      <c r="AI61" s="139">
        <f t="shared" si="2"/>
        <v>0</v>
      </c>
      <c r="AJ61" s="8"/>
    </row>
    <row r="62" spans="2:36" s="9" customFormat="1" ht="20.25" x14ac:dyDescent="0.3">
      <c r="B62" s="24">
        <v>42</v>
      </c>
      <c r="C62" s="146"/>
      <c r="D62" s="146"/>
      <c r="E62" s="146"/>
      <c r="F62" s="146"/>
      <c r="G62" s="146"/>
      <c r="H62" s="147"/>
      <c r="I62" s="148"/>
      <c r="J62" s="149"/>
      <c r="K62" s="147"/>
      <c r="L62" s="147"/>
      <c r="M62" s="146"/>
      <c r="N62" s="150"/>
      <c r="O62" s="151"/>
      <c r="P62" s="151"/>
      <c r="Q62" s="151"/>
      <c r="R62" s="151"/>
      <c r="S62" s="147"/>
      <c r="T62" s="147"/>
      <c r="U62" s="147"/>
      <c r="V62" s="147"/>
      <c r="W62" s="146"/>
      <c r="X62" s="146"/>
      <c r="Y62" s="146"/>
      <c r="Z62" s="146"/>
      <c r="AA62" s="146"/>
      <c r="AB62" s="147"/>
      <c r="AC62" s="148"/>
      <c r="AD62" s="152"/>
      <c r="AE62" s="152"/>
      <c r="AF62" s="153"/>
      <c r="AG62" s="274"/>
      <c r="AH62" s="153"/>
      <c r="AI62" s="139">
        <f t="shared" si="2"/>
        <v>0</v>
      </c>
      <c r="AJ62" s="8"/>
    </row>
    <row r="63" spans="2:36" s="9" customFormat="1" ht="20.25" x14ac:dyDescent="0.3">
      <c r="B63" s="24">
        <v>43</v>
      </c>
      <c r="C63" s="146"/>
      <c r="D63" s="146"/>
      <c r="E63" s="146"/>
      <c r="F63" s="146"/>
      <c r="G63" s="146"/>
      <c r="H63" s="147"/>
      <c r="I63" s="148"/>
      <c r="J63" s="149"/>
      <c r="K63" s="147"/>
      <c r="L63" s="147"/>
      <c r="M63" s="146"/>
      <c r="N63" s="150"/>
      <c r="O63" s="151"/>
      <c r="P63" s="151"/>
      <c r="Q63" s="151"/>
      <c r="R63" s="151"/>
      <c r="S63" s="147"/>
      <c r="T63" s="147"/>
      <c r="U63" s="147"/>
      <c r="V63" s="147"/>
      <c r="W63" s="146"/>
      <c r="X63" s="146"/>
      <c r="Y63" s="146"/>
      <c r="Z63" s="146"/>
      <c r="AA63" s="146"/>
      <c r="AB63" s="147"/>
      <c r="AC63" s="148"/>
      <c r="AD63" s="152"/>
      <c r="AE63" s="152"/>
      <c r="AF63" s="153"/>
      <c r="AG63" s="274"/>
      <c r="AH63" s="153"/>
      <c r="AI63" s="139">
        <f t="shared" si="2"/>
        <v>0</v>
      </c>
      <c r="AJ63" s="8"/>
    </row>
    <row r="64" spans="2:36" s="9" customFormat="1" ht="20.25" x14ac:dyDescent="0.3">
      <c r="B64" s="24">
        <v>44</v>
      </c>
      <c r="C64" s="146"/>
      <c r="D64" s="146"/>
      <c r="E64" s="146"/>
      <c r="F64" s="146"/>
      <c r="G64" s="146"/>
      <c r="H64" s="147"/>
      <c r="I64" s="148"/>
      <c r="J64" s="149"/>
      <c r="K64" s="147"/>
      <c r="L64" s="147"/>
      <c r="M64" s="146"/>
      <c r="N64" s="150"/>
      <c r="O64" s="151"/>
      <c r="P64" s="151"/>
      <c r="Q64" s="151"/>
      <c r="R64" s="151"/>
      <c r="S64" s="147"/>
      <c r="T64" s="147"/>
      <c r="U64" s="147"/>
      <c r="V64" s="147"/>
      <c r="W64" s="146"/>
      <c r="X64" s="146"/>
      <c r="Y64" s="146"/>
      <c r="Z64" s="146"/>
      <c r="AA64" s="146"/>
      <c r="AB64" s="147"/>
      <c r="AC64" s="148"/>
      <c r="AD64" s="152"/>
      <c r="AE64" s="152"/>
      <c r="AF64" s="153"/>
      <c r="AG64" s="274"/>
      <c r="AH64" s="153"/>
      <c r="AI64" s="139">
        <f t="shared" si="1"/>
        <v>0</v>
      </c>
      <c r="AJ64" s="8"/>
    </row>
    <row r="65" spans="2:36" s="9" customFormat="1" ht="20.25" x14ac:dyDescent="0.3">
      <c r="B65" s="24">
        <v>45</v>
      </c>
      <c r="C65" s="146"/>
      <c r="D65" s="146"/>
      <c r="E65" s="146"/>
      <c r="F65" s="146"/>
      <c r="G65" s="146"/>
      <c r="H65" s="147"/>
      <c r="I65" s="148"/>
      <c r="J65" s="149"/>
      <c r="K65" s="147"/>
      <c r="L65" s="147"/>
      <c r="M65" s="146"/>
      <c r="N65" s="150"/>
      <c r="O65" s="151"/>
      <c r="P65" s="151"/>
      <c r="Q65" s="151"/>
      <c r="R65" s="151"/>
      <c r="S65" s="147"/>
      <c r="T65" s="147"/>
      <c r="U65" s="147"/>
      <c r="V65" s="147"/>
      <c r="W65" s="146"/>
      <c r="X65" s="146"/>
      <c r="Y65" s="146"/>
      <c r="Z65" s="146"/>
      <c r="AA65" s="146"/>
      <c r="AB65" s="147"/>
      <c r="AC65" s="148"/>
      <c r="AD65" s="152"/>
      <c r="AE65" s="152"/>
      <c r="AF65" s="153"/>
      <c r="AG65" s="274"/>
      <c r="AH65" s="153"/>
      <c r="AI65" s="139">
        <f t="shared" si="1"/>
        <v>0</v>
      </c>
      <c r="AJ65" s="8"/>
    </row>
    <row r="66" spans="2:36" ht="15.75" x14ac:dyDescent="0.25">
      <c r="B66" s="25" t="s">
        <v>6</v>
      </c>
      <c r="C66" s="7">
        <f>SUMPRODUCT(C21:C65)</f>
        <v>0</v>
      </c>
      <c r="D66" s="7">
        <f>SUMPRODUCT(D21:D65)</f>
        <v>0</v>
      </c>
      <c r="E66" s="7">
        <f>SUM(E21:E65)</f>
        <v>0</v>
      </c>
      <c r="F66" s="7"/>
      <c r="G66" s="7"/>
      <c r="H66" s="7"/>
      <c r="I66" s="26">
        <f>SUMIF($I$21:$I$65,"**",$E$21:$E$65)</f>
        <v>0</v>
      </c>
      <c r="J66" s="36">
        <f>SUMPRODUCT($E$21:$E$65,$J$21:$J$65)/1000</f>
        <v>0</v>
      </c>
      <c r="K66" s="26">
        <f>SUMIF($K$21:$K$65,"**",$E$21:$E$65)</f>
        <v>0</v>
      </c>
      <c r="L66" s="26"/>
      <c r="M66" s="26"/>
      <c r="N66" s="26"/>
      <c r="O66" s="26"/>
      <c r="P66" s="26"/>
      <c r="Q66" s="26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>
        <f>SUMPRODUCT($E$21:$E$65,$AD$21:$AD$65)</f>
        <v>0</v>
      </c>
      <c r="AE66" s="7"/>
      <c r="AF66" s="7"/>
      <c r="AG66" s="7"/>
      <c r="AH66" s="26"/>
      <c r="AI66" s="140">
        <f>SUM(AI21:AI65)</f>
        <v>0</v>
      </c>
    </row>
    <row r="67" spans="2:36" s="9" customFormat="1" ht="20.25" x14ac:dyDescent="0.3">
      <c r="B67" s="27"/>
      <c r="C67" s="26"/>
      <c r="D67" s="26"/>
      <c r="E67" s="26"/>
      <c r="F67" s="26"/>
      <c r="G67" s="26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4"/>
      <c r="AD67" s="4"/>
      <c r="AE67" s="4"/>
      <c r="AF67" s="4"/>
      <c r="AG67" s="4"/>
      <c r="AH67" s="26"/>
      <c r="AI67" s="156">
        <f>AI66</f>
        <v>0</v>
      </c>
    </row>
    <row r="68" spans="2:36" s="9" customFormat="1" ht="20.25" x14ac:dyDescent="0.3">
      <c r="B68" s="4"/>
      <c r="C68" s="26"/>
      <c r="D68" s="4"/>
      <c r="E68" s="28"/>
      <c r="F68" s="28"/>
      <c r="G68" s="28"/>
      <c r="H68" s="28"/>
      <c r="I68" s="17" t="s">
        <v>183</v>
      </c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6"/>
      <c r="AD68" s="26"/>
      <c r="AE68" s="26"/>
      <c r="AF68" s="26"/>
      <c r="AG68" s="26"/>
      <c r="AH68" s="26"/>
      <c r="AI68" s="141">
        <f>(C66+D66)*2/1000</f>
        <v>0</v>
      </c>
    </row>
    <row r="69" spans="2:36" s="9" customFormat="1" ht="20.25" x14ac:dyDescent="0.3">
      <c r="B69" s="17" t="s">
        <v>184</v>
      </c>
      <c r="C69" s="26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6"/>
      <c r="AD69" s="26"/>
      <c r="AE69" s="26"/>
      <c r="AF69" s="26"/>
      <c r="AG69" s="26"/>
      <c r="AH69" s="26"/>
      <c r="AI69" s="30"/>
    </row>
    <row r="70" spans="2:36" s="4" customFormat="1" ht="15.75" x14ac:dyDescent="0.25">
      <c r="B70" s="348" t="s">
        <v>182</v>
      </c>
      <c r="C70" s="348"/>
      <c r="D70" s="348"/>
      <c r="E70" s="348"/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348"/>
      <c r="V70" s="348"/>
      <c r="W70" s="348"/>
      <c r="X70" s="348"/>
      <c r="Y70" s="348"/>
      <c r="Z70" s="348"/>
      <c r="AA70" s="348"/>
      <c r="AB70" s="348"/>
      <c r="AC70" s="348"/>
      <c r="AD70" s="348"/>
      <c r="AE70" s="348"/>
      <c r="AF70" s="348"/>
      <c r="AG70" s="348"/>
      <c r="AH70" s="348"/>
      <c r="AI70" s="348"/>
    </row>
    <row r="71" spans="2:36" ht="76.5" x14ac:dyDescent="0.2">
      <c r="B71" s="98" t="s">
        <v>3</v>
      </c>
      <c r="C71" s="98" t="s">
        <v>77</v>
      </c>
      <c r="D71" s="98" t="s">
        <v>79</v>
      </c>
      <c r="E71" s="98" t="s">
        <v>78</v>
      </c>
      <c r="F71" s="98" t="s">
        <v>80</v>
      </c>
      <c r="G71" s="98" t="s">
        <v>316</v>
      </c>
      <c r="H71" s="98" t="s">
        <v>86</v>
      </c>
      <c r="I71" s="128" t="s">
        <v>349</v>
      </c>
      <c r="J71" s="344" t="s">
        <v>81</v>
      </c>
      <c r="K71" s="345"/>
      <c r="L71" s="344" t="s">
        <v>341</v>
      </c>
      <c r="M71" s="345"/>
      <c r="N71" s="114" t="s">
        <v>350</v>
      </c>
      <c r="O71" s="114" t="s">
        <v>323</v>
      </c>
      <c r="P71" s="98" t="s">
        <v>342</v>
      </c>
      <c r="Q71" s="98" t="s">
        <v>343</v>
      </c>
      <c r="R71" s="366" t="s">
        <v>82</v>
      </c>
      <c r="S71" s="366"/>
      <c r="T71" s="98" t="s">
        <v>83</v>
      </c>
      <c r="U71" s="127" t="s">
        <v>346</v>
      </c>
      <c r="V71" s="127" t="s">
        <v>351</v>
      </c>
      <c r="W71" s="98" t="s">
        <v>317</v>
      </c>
      <c r="X71" s="98" t="s">
        <v>353</v>
      </c>
      <c r="Y71" s="98" t="s">
        <v>344</v>
      </c>
      <c r="Z71" s="98" t="s">
        <v>352</v>
      </c>
      <c r="AA71" s="98" t="s">
        <v>345</v>
      </c>
      <c r="AB71" s="98" t="s">
        <v>87</v>
      </c>
      <c r="AC71" s="128" t="s">
        <v>84</v>
      </c>
      <c r="AD71" s="128" t="s">
        <v>347</v>
      </c>
      <c r="AE71" s="128" t="s">
        <v>348</v>
      </c>
      <c r="AF71" s="344" t="s">
        <v>205</v>
      </c>
      <c r="AG71" s="345"/>
      <c r="AH71" s="98" t="s">
        <v>76</v>
      </c>
      <c r="AI71" s="114" t="s">
        <v>85</v>
      </c>
    </row>
    <row r="72" spans="2:36" s="9" customFormat="1" ht="20.25" x14ac:dyDescent="0.3">
      <c r="B72" s="32">
        <v>1</v>
      </c>
      <c r="C72" s="337"/>
      <c r="D72" s="337"/>
      <c r="E72" s="335"/>
      <c r="F72" s="146"/>
      <c r="G72" s="146"/>
      <c r="H72" s="147"/>
      <c r="I72" s="148"/>
      <c r="J72" s="149"/>
      <c r="K72" s="147"/>
      <c r="L72" s="147"/>
      <c r="M72" s="146"/>
      <c r="N72" s="150"/>
      <c r="O72" s="151"/>
      <c r="P72" s="151"/>
      <c r="Q72" s="151"/>
      <c r="R72" s="151"/>
      <c r="S72" s="147"/>
      <c r="T72" s="147"/>
      <c r="U72" s="147"/>
      <c r="V72" s="147"/>
      <c r="W72" s="146"/>
      <c r="X72" s="146"/>
      <c r="Y72" s="146"/>
      <c r="Z72" s="146"/>
      <c r="AA72" s="146"/>
      <c r="AB72" s="147"/>
      <c r="AC72" s="148"/>
      <c r="AD72" s="152"/>
      <c r="AE72" s="152"/>
      <c r="AF72" s="153"/>
      <c r="AG72" s="274"/>
      <c r="AH72" s="153"/>
      <c r="AI72" s="142">
        <f>C72*D72/1000000*E72*3.14/2</f>
        <v>0</v>
      </c>
    </row>
    <row r="73" spans="2:36" s="9" customFormat="1" ht="20.25" x14ac:dyDescent="0.3">
      <c r="B73" s="24">
        <v>2</v>
      </c>
      <c r="C73" s="337"/>
      <c r="D73" s="337"/>
      <c r="E73" s="335"/>
      <c r="F73" s="146"/>
      <c r="G73" s="146"/>
      <c r="H73" s="147"/>
      <c r="I73" s="148"/>
      <c r="J73" s="149"/>
      <c r="K73" s="147"/>
      <c r="L73" s="147"/>
      <c r="M73" s="146"/>
      <c r="N73" s="150"/>
      <c r="O73" s="151"/>
      <c r="P73" s="151"/>
      <c r="Q73" s="151"/>
      <c r="R73" s="151"/>
      <c r="S73" s="147"/>
      <c r="T73" s="147"/>
      <c r="U73" s="147"/>
      <c r="V73" s="147"/>
      <c r="W73" s="146"/>
      <c r="X73" s="146"/>
      <c r="Y73" s="146"/>
      <c r="Z73" s="146"/>
      <c r="AA73" s="146"/>
      <c r="AB73" s="147"/>
      <c r="AC73" s="148"/>
      <c r="AD73" s="152"/>
      <c r="AE73" s="152"/>
      <c r="AF73" s="153"/>
      <c r="AG73" s="274"/>
      <c r="AH73" s="153"/>
      <c r="AI73" s="142">
        <f>C73*D73/1000000*E73*3.14/2</f>
        <v>0</v>
      </c>
    </row>
    <row r="74" spans="2:36" s="9" customFormat="1" ht="20.25" x14ac:dyDescent="0.3">
      <c r="B74" s="31">
        <v>3</v>
      </c>
      <c r="C74" s="336"/>
      <c r="D74" s="338"/>
      <c r="E74" s="339"/>
      <c r="F74" s="146"/>
      <c r="G74" s="146"/>
      <c r="H74" s="147"/>
      <c r="I74" s="148"/>
      <c r="J74" s="149"/>
      <c r="K74" s="147"/>
      <c r="L74" s="147"/>
      <c r="M74" s="146"/>
      <c r="N74" s="150"/>
      <c r="O74" s="151"/>
      <c r="P74" s="151"/>
      <c r="Q74" s="151"/>
      <c r="R74" s="151"/>
      <c r="S74" s="147"/>
      <c r="T74" s="147"/>
      <c r="U74" s="147"/>
      <c r="V74" s="147"/>
      <c r="W74" s="146"/>
      <c r="X74" s="146"/>
      <c r="Y74" s="146"/>
      <c r="Z74" s="146"/>
      <c r="AA74" s="146"/>
      <c r="AB74" s="147"/>
      <c r="AC74" s="148"/>
      <c r="AD74" s="152"/>
      <c r="AE74" s="152"/>
      <c r="AF74" s="153"/>
      <c r="AG74" s="274"/>
      <c r="AH74" s="153"/>
      <c r="AI74" s="142">
        <f>C74*D74/1000000*E74*3.14/2</f>
        <v>0</v>
      </c>
    </row>
    <row r="75" spans="2:36" s="9" customFormat="1" ht="20.25" x14ac:dyDescent="0.3">
      <c r="B75" s="24">
        <v>4</v>
      </c>
      <c r="C75" s="337"/>
      <c r="D75" s="337"/>
      <c r="E75" s="335"/>
      <c r="F75" s="146"/>
      <c r="G75" s="146"/>
      <c r="H75" s="147"/>
      <c r="I75" s="148"/>
      <c r="J75" s="149"/>
      <c r="K75" s="147"/>
      <c r="L75" s="147"/>
      <c r="M75" s="146"/>
      <c r="N75" s="150"/>
      <c r="O75" s="151"/>
      <c r="P75" s="151"/>
      <c r="Q75" s="151"/>
      <c r="R75" s="151"/>
      <c r="S75" s="147"/>
      <c r="T75" s="147"/>
      <c r="U75" s="147"/>
      <c r="V75" s="147"/>
      <c r="W75" s="146"/>
      <c r="X75" s="146"/>
      <c r="Y75" s="146"/>
      <c r="Z75" s="146"/>
      <c r="AA75" s="146"/>
      <c r="AB75" s="147"/>
      <c r="AC75" s="148"/>
      <c r="AD75" s="152"/>
      <c r="AE75" s="152"/>
      <c r="AF75" s="153"/>
      <c r="AG75" s="274"/>
      <c r="AH75" s="153"/>
      <c r="AI75" s="142">
        <f>C75*D75/1000000*E75*3.14/2</f>
        <v>0</v>
      </c>
    </row>
    <row r="76" spans="2:36" s="9" customFormat="1" ht="20.25" x14ac:dyDescent="0.3">
      <c r="B76" s="31">
        <v>5</v>
      </c>
      <c r="C76" s="336"/>
      <c r="D76" s="338"/>
      <c r="E76" s="339"/>
      <c r="F76" s="146"/>
      <c r="G76" s="146"/>
      <c r="H76" s="147"/>
      <c r="I76" s="148"/>
      <c r="J76" s="149"/>
      <c r="K76" s="147"/>
      <c r="L76" s="147"/>
      <c r="M76" s="146"/>
      <c r="N76" s="150"/>
      <c r="O76" s="151"/>
      <c r="P76" s="151"/>
      <c r="Q76" s="151"/>
      <c r="R76" s="151"/>
      <c r="S76" s="147"/>
      <c r="T76" s="147"/>
      <c r="U76" s="147"/>
      <c r="V76" s="147"/>
      <c r="W76" s="146"/>
      <c r="X76" s="146"/>
      <c r="Y76" s="146"/>
      <c r="Z76" s="146"/>
      <c r="AA76" s="146"/>
      <c r="AB76" s="147"/>
      <c r="AC76" s="148"/>
      <c r="AD76" s="152"/>
      <c r="AE76" s="152"/>
      <c r="AF76" s="153"/>
      <c r="AG76" s="274"/>
      <c r="AH76" s="153"/>
      <c r="AI76" s="142">
        <f>C76*D76/1000000*E76*3.14/2</f>
        <v>0</v>
      </c>
    </row>
    <row r="77" spans="2:36" ht="15.75" x14ac:dyDescent="0.25">
      <c r="B77" s="26" t="s">
        <v>6</v>
      </c>
      <c r="C77" s="6"/>
      <c r="D77" s="26"/>
      <c r="E77" s="26">
        <f>SUM(E72:E76)</f>
        <v>0</v>
      </c>
      <c r="F77" s="26"/>
      <c r="G77" s="26"/>
      <c r="H77" s="26"/>
      <c r="I77" s="26">
        <f>SUM(I72:I76)</f>
        <v>0</v>
      </c>
      <c r="J77" s="26">
        <f>SUMPRODUCT($E$72:$E$76,$J$72:$J$76)/1000</f>
        <v>0</v>
      </c>
      <c r="K77" s="26">
        <f>SUMIF($K$72:$K$76,"**",$E$72:$E$76)</f>
        <v>0</v>
      </c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34"/>
      <c r="AD77" s="7">
        <f>SUMPRODUCT($E$72:$E$76,$AD$72:$AD$76)</f>
        <v>0</v>
      </c>
      <c r="AE77" s="34"/>
      <c r="AF77" s="34"/>
      <c r="AG77" s="34"/>
      <c r="AH77" s="34"/>
      <c r="AI77" s="140">
        <f>SUM(AI72:AI76)</f>
        <v>0</v>
      </c>
    </row>
    <row r="78" spans="2:36" s="9" customFormat="1" ht="20.25" x14ac:dyDescent="0.3">
      <c r="B78" s="352" t="s">
        <v>13</v>
      </c>
      <c r="C78" s="353"/>
      <c r="D78" s="354"/>
      <c r="E78" s="35">
        <f>SUM(E66)+(E77)</f>
        <v>0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156">
        <f>AI77</f>
        <v>0</v>
      </c>
    </row>
    <row r="79" spans="2:36" ht="16.5" thickBot="1" x14ac:dyDescent="0.3">
      <c r="B79" s="6"/>
      <c r="C79" s="6"/>
      <c r="D79" s="6"/>
      <c r="E79" s="7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29"/>
    </row>
    <row r="80" spans="2:36" ht="15.75" x14ac:dyDescent="0.25">
      <c r="B80" s="355"/>
      <c r="C80" s="356"/>
      <c r="D80" s="356"/>
      <c r="E80" s="356"/>
      <c r="F80" s="356"/>
      <c r="G80" s="356"/>
      <c r="H80" s="356"/>
      <c r="I80" s="356"/>
      <c r="J80" s="356"/>
      <c r="K80" s="356"/>
      <c r="L80" s="356"/>
      <c r="M80" s="356"/>
      <c r="N80" s="356"/>
      <c r="O80" s="356"/>
      <c r="P80" s="356"/>
      <c r="Q80" s="356"/>
      <c r="R80" s="356"/>
      <c r="S80" s="356"/>
      <c r="T80" s="356"/>
      <c r="U80" s="356"/>
      <c r="V80" s="356"/>
      <c r="W80" s="356"/>
      <c r="X80" s="356"/>
      <c r="Y80" s="356"/>
      <c r="Z80" s="356"/>
      <c r="AA80" s="356"/>
      <c r="AB80" s="356"/>
      <c r="AC80" s="356"/>
      <c r="AD80" s="356"/>
      <c r="AE80" s="356"/>
      <c r="AF80" s="356"/>
      <c r="AG80" s="356"/>
      <c r="AH80" s="357"/>
      <c r="AI80" s="29"/>
    </row>
    <row r="81" spans="2:35" ht="15.75" x14ac:dyDescent="0.25">
      <c r="B81" s="358"/>
      <c r="C81" s="359"/>
      <c r="D81" s="359"/>
      <c r="E81" s="359"/>
      <c r="F81" s="35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  <c r="Y81" s="359"/>
      <c r="Z81" s="359"/>
      <c r="AA81" s="359"/>
      <c r="AB81" s="359"/>
      <c r="AC81" s="359"/>
      <c r="AD81" s="359"/>
      <c r="AE81" s="359"/>
      <c r="AF81" s="359"/>
      <c r="AG81" s="359"/>
      <c r="AH81" s="360"/>
      <c r="AI81" s="29"/>
    </row>
    <row r="82" spans="2:35" ht="16.5" thickBot="1" x14ac:dyDescent="0.3">
      <c r="B82" s="361"/>
      <c r="C82" s="362"/>
      <c r="D82" s="362"/>
      <c r="E82" s="362"/>
      <c r="F82" s="362"/>
      <c r="G82" s="362"/>
      <c r="H82" s="362"/>
      <c r="I82" s="362"/>
      <c r="J82" s="362"/>
      <c r="K82" s="362"/>
      <c r="L82" s="362"/>
      <c r="M82" s="362"/>
      <c r="N82" s="362"/>
      <c r="O82" s="362"/>
      <c r="P82" s="362"/>
      <c r="Q82" s="362"/>
      <c r="R82" s="362"/>
      <c r="S82" s="362"/>
      <c r="T82" s="362"/>
      <c r="U82" s="362"/>
      <c r="V82" s="362"/>
      <c r="W82" s="362"/>
      <c r="X82" s="362"/>
      <c r="Y82" s="362"/>
      <c r="Z82" s="362"/>
      <c r="AA82" s="362"/>
      <c r="AB82" s="362"/>
      <c r="AC82" s="362"/>
      <c r="AD82" s="362"/>
      <c r="AE82" s="362"/>
      <c r="AF82" s="362"/>
      <c r="AG82" s="362"/>
      <c r="AH82" s="363"/>
      <c r="AI82" s="29"/>
    </row>
    <row r="83" spans="2:35" ht="20.25" x14ac:dyDescent="0.3">
      <c r="B83" s="157" t="s">
        <v>683</v>
      </c>
      <c r="C83" s="157"/>
      <c r="D83" s="347">
        <f ca="1">AF10</f>
        <v>45693</v>
      </c>
      <c r="E83" s="347"/>
      <c r="F83" s="347"/>
      <c r="G83" s="82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36"/>
    </row>
    <row r="84" spans="2:35" ht="20.25" x14ac:dyDescent="0.3">
      <c r="B84" s="157" t="s">
        <v>684</v>
      </c>
      <c r="C84" s="157"/>
      <c r="D84" s="349">
        <f ca="1">D83+21</f>
        <v>45714</v>
      </c>
      <c r="E84" s="350"/>
      <c r="F84" s="351"/>
      <c r="G84" s="82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8"/>
      <c r="AD84" s="38"/>
      <c r="AE84" s="38"/>
      <c r="AF84" s="38"/>
      <c r="AG84" s="38"/>
      <c r="AH84" s="38"/>
      <c r="AI84" s="30"/>
    </row>
    <row r="85" spans="2:35" ht="15.75" hidden="1" x14ac:dyDescent="0.25">
      <c r="B85" s="346" t="s">
        <v>14</v>
      </c>
      <c r="C85" s="346"/>
      <c r="D85" s="346"/>
      <c r="E85" s="346"/>
      <c r="F85" s="346"/>
      <c r="G85" s="346"/>
      <c r="H85" s="346"/>
      <c r="I85" s="346"/>
      <c r="J85" s="346"/>
      <c r="K85" s="346"/>
      <c r="L85" s="346"/>
      <c r="M85" s="346"/>
      <c r="N85" s="346"/>
      <c r="O85" s="346"/>
      <c r="P85" s="346"/>
      <c r="Q85" s="346"/>
      <c r="R85" s="346"/>
      <c r="S85" s="346"/>
      <c r="T85" s="346"/>
      <c r="U85" s="346"/>
      <c r="V85" s="346"/>
      <c r="W85" s="346"/>
      <c r="X85" s="346"/>
      <c r="Y85" s="346"/>
      <c r="Z85" s="346"/>
      <c r="AA85" s="346"/>
      <c r="AB85" s="346"/>
      <c r="AC85" s="346"/>
      <c r="AD85" s="346"/>
      <c r="AE85" s="346"/>
      <c r="AF85" s="346"/>
      <c r="AG85" s="346"/>
      <c r="AH85" s="346"/>
      <c r="AI85" s="346"/>
    </row>
    <row r="86" spans="2:35" ht="15.75" hidden="1" x14ac:dyDescent="0.25">
      <c r="B86" s="6"/>
      <c r="C86" s="6"/>
      <c r="D86" s="26"/>
      <c r="E86" s="26"/>
      <c r="F86" s="26"/>
      <c r="G86" s="26"/>
      <c r="H86" s="26"/>
      <c r="I86" s="26"/>
      <c r="J86" s="26"/>
      <c r="K86" s="26"/>
      <c r="L86" s="26"/>
      <c r="M86" s="39" t="s">
        <v>4</v>
      </c>
      <c r="N86" s="26"/>
      <c r="O86" s="136" t="s">
        <v>5</v>
      </c>
      <c r="P86" s="26"/>
      <c r="Q86" s="26"/>
      <c r="R86" s="39" t="s">
        <v>6</v>
      </c>
      <c r="S86" s="6"/>
      <c r="T86" s="6"/>
      <c r="U86" s="6"/>
      <c r="V86" s="6"/>
      <c r="W86" s="6"/>
      <c r="X86" s="136"/>
      <c r="Y86" s="39"/>
      <c r="Z86" s="39"/>
      <c r="AA86" s="39"/>
      <c r="AB86" s="6"/>
      <c r="AC86" s="6"/>
      <c r="AD86" s="6"/>
      <c r="AE86" s="6"/>
      <c r="AF86" s="6"/>
      <c r="AG86" s="6"/>
      <c r="AH86" s="6"/>
      <c r="AI86" s="6"/>
    </row>
    <row r="87" spans="2:35" ht="15.75" hidden="1" x14ac:dyDescent="0.25">
      <c r="B87" s="46" t="s">
        <v>213</v>
      </c>
      <c r="C87" s="46"/>
      <c r="D87" s="46"/>
      <c r="E87" s="46"/>
      <c r="F87" s="46"/>
      <c r="G87" s="46"/>
      <c r="H87" s="46"/>
      <c r="I87" s="40"/>
      <c r="J87" s="41"/>
      <c r="K87" s="84" t="s">
        <v>22</v>
      </c>
      <c r="L87" s="84"/>
      <c r="M87" s="42"/>
      <c r="N87" s="84"/>
      <c r="O87" s="33"/>
      <c r="P87" s="84"/>
      <c r="Q87" s="84"/>
      <c r="R87" s="159">
        <f>O87*M87</f>
        <v>0</v>
      </c>
      <c r="S87" s="26"/>
      <c r="T87" s="26"/>
      <c r="U87" s="43" t="s">
        <v>7</v>
      </c>
      <c r="V87" s="133"/>
      <c r="W87" s="26"/>
      <c r="X87" s="136"/>
      <c r="Y87" s="39"/>
      <c r="Z87" s="39"/>
      <c r="AA87" s="39"/>
      <c r="AD87" s="43"/>
      <c r="AE87" s="43"/>
      <c r="AF87" s="43"/>
      <c r="AG87" s="43"/>
      <c r="AH87" s="43"/>
      <c r="AI87" s="143">
        <f>SUM(R87:R124)</f>
        <v>0</v>
      </c>
    </row>
    <row r="88" spans="2:35" ht="18" hidden="1" x14ac:dyDescent="0.25">
      <c r="B88" s="84" t="s">
        <v>214</v>
      </c>
      <c r="C88" s="46"/>
      <c r="D88" s="46"/>
      <c r="E88" s="46"/>
      <c r="F88" s="46"/>
      <c r="G88" s="46"/>
      <c r="H88" s="46"/>
      <c r="I88" s="40"/>
      <c r="J88" s="41"/>
      <c r="K88" s="84" t="s">
        <v>22</v>
      </c>
      <c r="L88" s="84"/>
      <c r="M88" s="42"/>
      <c r="N88" s="84"/>
      <c r="O88" s="33"/>
      <c r="P88" s="84"/>
      <c r="Q88" s="84"/>
      <c r="R88" s="159">
        <f t="shared" ref="R88:R124" si="3">O88*M88</f>
        <v>0</v>
      </c>
      <c r="S88" s="26"/>
      <c r="T88" s="26"/>
      <c r="U88" s="44" t="s">
        <v>8</v>
      </c>
      <c r="V88" s="133"/>
      <c r="W88" s="26"/>
      <c r="X88" s="136"/>
      <c r="Y88" s="39"/>
      <c r="Z88" s="39"/>
      <c r="AA88" s="39"/>
      <c r="AD88" s="44"/>
      <c r="AE88" s="44"/>
      <c r="AF88" s="44"/>
      <c r="AG88" s="44"/>
      <c r="AH88" s="44"/>
      <c r="AI88" s="160"/>
    </row>
    <row r="89" spans="2:35" ht="15.75" hidden="1" x14ac:dyDescent="0.25">
      <c r="B89" s="46" t="s">
        <v>215</v>
      </c>
      <c r="C89" s="84"/>
      <c r="D89" s="84"/>
      <c r="E89" s="84"/>
      <c r="F89" s="84"/>
      <c r="G89" s="84"/>
      <c r="H89" s="84"/>
      <c r="I89" s="40"/>
      <c r="J89" s="41"/>
      <c r="K89" s="84" t="s">
        <v>22</v>
      </c>
      <c r="L89" s="84"/>
      <c r="M89" s="42"/>
      <c r="N89" s="84"/>
      <c r="O89" s="33"/>
      <c r="P89" s="84"/>
      <c r="Q89" s="84"/>
      <c r="R89" s="159">
        <f t="shared" si="3"/>
        <v>0</v>
      </c>
      <c r="S89" s="26"/>
      <c r="T89" s="26"/>
      <c r="U89" s="6"/>
      <c r="V89" s="133"/>
      <c r="W89" s="26"/>
      <c r="X89" s="136"/>
      <c r="Y89" s="39"/>
      <c r="Z89" s="39"/>
      <c r="AA89" s="39"/>
      <c r="AD89" s="6"/>
      <c r="AE89" s="6"/>
      <c r="AF89" s="6"/>
      <c r="AG89" s="6"/>
      <c r="AH89" s="6"/>
      <c r="AI89" s="145">
        <f>(AI87*(100-AI88)/100)</f>
        <v>0</v>
      </c>
    </row>
    <row r="90" spans="2:35" ht="15.75" hidden="1" x14ac:dyDescent="0.25">
      <c r="B90" s="84" t="s">
        <v>216</v>
      </c>
      <c r="C90" s="84"/>
      <c r="D90" s="84"/>
      <c r="E90" s="84"/>
      <c r="F90" s="84"/>
      <c r="G90" s="84"/>
      <c r="H90" s="84"/>
      <c r="I90" s="40"/>
      <c r="J90" s="41"/>
      <c r="K90" s="84" t="s">
        <v>22</v>
      </c>
      <c r="L90" s="84"/>
      <c r="M90" s="42"/>
      <c r="N90" s="84"/>
      <c r="O90" s="33"/>
      <c r="P90" s="84"/>
      <c r="Q90" s="84"/>
      <c r="R90" s="159">
        <f t="shared" si="3"/>
        <v>0</v>
      </c>
      <c r="S90" s="26"/>
      <c r="T90" s="26"/>
      <c r="U90" s="10" t="s">
        <v>9</v>
      </c>
      <c r="V90" s="133"/>
      <c r="W90" s="26"/>
      <c r="X90" s="136"/>
      <c r="Y90" s="39"/>
      <c r="Z90" s="39"/>
      <c r="AA90" s="39"/>
      <c r="AD90" s="10"/>
      <c r="AE90" s="10"/>
      <c r="AF90" s="10"/>
      <c r="AG90" s="10"/>
      <c r="AH90" s="10"/>
      <c r="AI90" s="144"/>
    </row>
    <row r="91" spans="2:35" ht="20.25" hidden="1" x14ac:dyDescent="0.3">
      <c r="B91" s="46" t="s">
        <v>217</v>
      </c>
      <c r="C91" s="84"/>
      <c r="D91" s="84"/>
      <c r="E91" s="84"/>
      <c r="F91" s="84"/>
      <c r="G91" s="84"/>
      <c r="H91" s="84"/>
      <c r="I91" s="40"/>
      <c r="J91" s="41"/>
      <c r="K91" s="84" t="s">
        <v>22</v>
      </c>
      <c r="L91" s="84"/>
      <c r="M91" s="42"/>
      <c r="N91" s="84"/>
      <c r="O91" s="33"/>
      <c r="P91" s="84"/>
      <c r="Q91" s="84"/>
      <c r="R91" s="159">
        <f t="shared" si="3"/>
        <v>0</v>
      </c>
      <c r="S91" s="26"/>
      <c r="T91" s="26"/>
      <c r="U91" s="10" t="s">
        <v>10</v>
      </c>
      <c r="V91" s="133"/>
      <c r="W91" s="26"/>
      <c r="X91" s="136"/>
      <c r="Y91" s="39"/>
      <c r="Z91" s="39"/>
      <c r="AA91" s="39"/>
      <c r="AD91" s="10"/>
      <c r="AE91" s="10"/>
      <c r="AF91" s="10"/>
      <c r="AG91" s="10"/>
      <c r="AH91" s="10"/>
      <c r="AI91" s="158">
        <f>AI89-AI90</f>
        <v>0</v>
      </c>
    </row>
    <row r="92" spans="2:35" ht="15.75" hidden="1" x14ac:dyDescent="0.25">
      <c r="B92" s="84" t="s">
        <v>218</v>
      </c>
      <c r="C92" s="84"/>
      <c r="D92" s="84"/>
      <c r="E92" s="84"/>
      <c r="F92" s="84"/>
      <c r="G92" s="84"/>
      <c r="H92" s="84"/>
      <c r="I92" s="40"/>
      <c r="J92" s="41"/>
      <c r="K92" s="84" t="s">
        <v>22</v>
      </c>
      <c r="L92" s="84"/>
      <c r="M92" s="42"/>
      <c r="N92" s="84"/>
      <c r="O92" s="33"/>
      <c r="P92" s="84"/>
      <c r="Q92" s="84"/>
      <c r="R92" s="159">
        <f t="shared" si="3"/>
        <v>0</v>
      </c>
      <c r="S92" s="26"/>
      <c r="T92" s="26"/>
      <c r="U92" s="44"/>
      <c r="V92" s="133"/>
      <c r="W92" s="26"/>
      <c r="X92" s="136"/>
      <c r="Y92" s="39"/>
      <c r="Z92" s="39"/>
      <c r="AA92" s="39"/>
      <c r="AD92" s="44"/>
      <c r="AE92" s="44"/>
      <c r="AF92" s="44"/>
      <c r="AG92" s="44"/>
      <c r="AH92" s="44"/>
      <c r="AI92" s="144"/>
    </row>
    <row r="93" spans="2:35" ht="15.75" hidden="1" x14ac:dyDescent="0.25">
      <c r="B93" s="84" t="s">
        <v>219</v>
      </c>
      <c r="C93" s="84"/>
      <c r="D93" s="84"/>
      <c r="E93" s="84"/>
      <c r="F93" s="84"/>
      <c r="G93" s="84"/>
      <c r="H93" s="84"/>
      <c r="I93" s="40"/>
      <c r="J93" s="41"/>
      <c r="K93" s="84" t="s">
        <v>22</v>
      </c>
      <c r="L93" s="84"/>
      <c r="M93" s="42"/>
      <c r="N93" s="84"/>
      <c r="O93" s="33"/>
      <c r="P93" s="84"/>
      <c r="Q93" s="84"/>
      <c r="R93" s="159">
        <f t="shared" si="3"/>
        <v>0</v>
      </c>
      <c r="S93" s="26"/>
      <c r="T93" s="26"/>
      <c r="U93" s="44"/>
      <c r="V93" s="133"/>
      <c r="W93" s="26"/>
      <c r="X93" s="136"/>
      <c r="Y93" s="39"/>
      <c r="Z93" s="39"/>
      <c r="AA93" s="39"/>
      <c r="AD93" s="44"/>
      <c r="AE93" s="44"/>
      <c r="AF93" s="44"/>
      <c r="AG93" s="44"/>
      <c r="AH93" s="44"/>
      <c r="AI93" s="45"/>
    </row>
    <row r="94" spans="2:35" ht="15.75" hidden="1" x14ac:dyDescent="0.25">
      <c r="B94" s="84" t="s">
        <v>220</v>
      </c>
      <c r="C94" s="84"/>
      <c r="D94" s="84"/>
      <c r="E94" s="84"/>
      <c r="F94" s="84"/>
      <c r="G94" s="84"/>
      <c r="H94" s="84"/>
      <c r="I94" s="40"/>
      <c r="J94" s="41"/>
      <c r="K94" s="84" t="s">
        <v>22</v>
      </c>
      <c r="L94" s="84"/>
      <c r="M94" s="42"/>
      <c r="N94" s="84"/>
      <c r="O94" s="33"/>
      <c r="P94" s="84"/>
      <c r="Q94" s="84"/>
      <c r="R94" s="159">
        <f t="shared" si="3"/>
        <v>0</v>
      </c>
      <c r="S94" s="26"/>
      <c r="T94" s="26"/>
      <c r="U94" s="44"/>
      <c r="V94" s="133"/>
      <c r="W94" s="26"/>
      <c r="X94" s="136"/>
      <c r="Y94" s="39"/>
      <c r="Z94" s="39"/>
      <c r="AA94" s="39"/>
      <c r="AD94" s="44"/>
      <c r="AE94" s="44"/>
      <c r="AF94" s="44"/>
      <c r="AG94" s="44"/>
      <c r="AH94" s="44"/>
      <c r="AI94" s="45"/>
    </row>
    <row r="95" spans="2:35" ht="15.75" hidden="1" x14ac:dyDescent="0.25">
      <c r="B95" s="84" t="s">
        <v>221</v>
      </c>
      <c r="C95" s="84"/>
      <c r="D95" s="84"/>
      <c r="E95" s="84"/>
      <c r="F95" s="84"/>
      <c r="G95" s="84"/>
      <c r="H95" s="84"/>
      <c r="I95" s="40"/>
      <c r="J95" s="41"/>
      <c r="K95" s="84" t="s">
        <v>22</v>
      </c>
      <c r="L95" s="84"/>
      <c r="M95" s="42"/>
      <c r="N95" s="84"/>
      <c r="O95" s="33"/>
      <c r="P95" s="84"/>
      <c r="Q95" s="84"/>
      <c r="R95" s="159">
        <f t="shared" si="3"/>
        <v>0</v>
      </c>
      <c r="S95" s="26"/>
      <c r="T95" s="26"/>
      <c r="U95" s="44"/>
      <c r="V95" s="133"/>
      <c r="W95" s="26"/>
      <c r="X95" s="136"/>
      <c r="Y95" s="39"/>
      <c r="Z95" s="39"/>
      <c r="AA95" s="39"/>
      <c r="AD95" s="44"/>
      <c r="AE95" s="44"/>
      <c r="AF95" s="44"/>
      <c r="AG95" s="44"/>
      <c r="AH95" s="44"/>
      <c r="AI95" s="45"/>
    </row>
    <row r="96" spans="2:35" ht="15.75" hidden="1" x14ac:dyDescent="0.25">
      <c r="B96" s="84" t="s">
        <v>222</v>
      </c>
      <c r="C96" s="84"/>
      <c r="D96" s="84"/>
      <c r="E96" s="84"/>
      <c r="F96" s="84"/>
      <c r="G96" s="84"/>
      <c r="H96" s="84"/>
      <c r="I96" s="40"/>
      <c r="J96" s="41"/>
      <c r="K96" s="84" t="s">
        <v>22</v>
      </c>
      <c r="L96" s="84"/>
      <c r="M96" s="42"/>
      <c r="N96" s="84"/>
      <c r="O96" s="33"/>
      <c r="P96" s="84"/>
      <c r="Q96" s="84"/>
      <c r="R96" s="159">
        <f t="shared" si="3"/>
        <v>0</v>
      </c>
      <c r="S96" s="26"/>
      <c r="T96" s="26"/>
      <c r="U96" s="44"/>
      <c r="V96" s="133"/>
      <c r="W96" s="26"/>
      <c r="X96" s="136"/>
      <c r="Y96" s="39"/>
      <c r="Z96" s="39"/>
      <c r="AA96" s="39"/>
      <c r="AD96" s="44"/>
      <c r="AE96" s="44"/>
      <c r="AF96" s="44"/>
      <c r="AG96" s="44"/>
      <c r="AH96" s="44"/>
      <c r="AI96" s="45"/>
    </row>
    <row r="97" spans="2:35" ht="15.75" hidden="1" x14ac:dyDescent="0.25">
      <c r="B97" s="84" t="s">
        <v>223</v>
      </c>
      <c r="C97" s="84"/>
      <c r="D97" s="84"/>
      <c r="E97" s="84"/>
      <c r="F97" s="84"/>
      <c r="G97" s="84"/>
      <c r="H97" s="84"/>
      <c r="I97" s="40"/>
      <c r="J97" s="41"/>
      <c r="K97" s="84" t="s">
        <v>22</v>
      </c>
      <c r="L97" s="84"/>
      <c r="M97" s="42"/>
      <c r="N97" s="84"/>
      <c r="O97" s="33"/>
      <c r="P97" s="84"/>
      <c r="Q97" s="84"/>
      <c r="R97" s="159">
        <f t="shared" si="3"/>
        <v>0</v>
      </c>
      <c r="S97" s="26"/>
      <c r="T97" s="26"/>
      <c r="U97" s="44"/>
      <c r="V97" s="133"/>
      <c r="W97" s="26"/>
      <c r="X97" s="136"/>
      <c r="Y97" s="39"/>
      <c r="Z97" s="39"/>
      <c r="AA97" s="39"/>
      <c r="AD97" s="44"/>
      <c r="AE97" s="44"/>
      <c r="AF97" s="44"/>
      <c r="AG97" s="44"/>
      <c r="AH97" s="44"/>
      <c r="AI97" s="45"/>
    </row>
    <row r="98" spans="2:35" ht="15.75" hidden="1" x14ac:dyDescent="0.25">
      <c r="B98" s="84" t="s">
        <v>224</v>
      </c>
      <c r="C98" s="84"/>
      <c r="D98" s="84"/>
      <c r="E98" s="84"/>
      <c r="F98" s="84"/>
      <c r="G98" s="84"/>
      <c r="H98" s="84"/>
      <c r="I98" s="40"/>
      <c r="J98" s="41"/>
      <c r="K98" s="84" t="s">
        <v>22</v>
      </c>
      <c r="L98" s="84"/>
      <c r="M98" s="42"/>
      <c r="N98" s="84"/>
      <c r="O98" s="33"/>
      <c r="P98" s="84"/>
      <c r="Q98" s="84"/>
      <c r="R98" s="159">
        <f t="shared" si="3"/>
        <v>0</v>
      </c>
      <c r="S98" s="26"/>
      <c r="T98" s="26"/>
      <c r="U98" s="44"/>
      <c r="V98" s="133"/>
      <c r="W98" s="26"/>
      <c r="X98" s="136"/>
      <c r="Y98" s="39"/>
      <c r="Z98" s="39"/>
      <c r="AA98" s="39"/>
      <c r="AD98" s="44"/>
      <c r="AE98" s="44"/>
      <c r="AF98" s="44"/>
      <c r="AG98" s="44"/>
      <c r="AH98" s="44"/>
      <c r="AI98" s="45"/>
    </row>
    <row r="99" spans="2:35" ht="15.75" hidden="1" x14ac:dyDescent="0.25">
      <c r="B99" s="84" t="s">
        <v>225</v>
      </c>
      <c r="C99" s="84"/>
      <c r="D99" s="84"/>
      <c r="E99" s="84"/>
      <c r="F99" s="84"/>
      <c r="G99" s="84"/>
      <c r="H99" s="84"/>
      <c r="I99" s="40"/>
      <c r="J99" s="41"/>
      <c r="K99" s="84" t="s">
        <v>22</v>
      </c>
      <c r="L99" s="84"/>
      <c r="M99" s="42"/>
      <c r="N99" s="84"/>
      <c r="O99" s="33"/>
      <c r="P99" s="84"/>
      <c r="Q99" s="84"/>
      <c r="R99" s="159">
        <f t="shared" si="3"/>
        <v>0</v>
      </c>
      <c r="S99" s="26"/>
      <c r="T99" s="26"/>
      <c r="U99" s="44"/>
      <c r="V99" s="133"/>
      <c r="W99" s="26"/>
      <c r="X99" s="136"/>
      <c r="Y99" s="39"/>
      <c r="Z99" s="39"/>
      <c r="AA99" s="39"/>
      <c r="AD99" s="44"/>
      <c r="AE99" s="44"/>
      <c r="AF99" s="44"/>
      <c r="AG99" s="44"/>
      <c r="AH99" s="44"/>
      <c r="AI99" s="45"/>
    </row>
    <row r="100" spans="2:35" ht="15.75" hidden="1" x14ac:dyDescent="0.25">
      <c r="B100" s="84" t="s">
        <v>226</v>
      </c>
      <c r="C100" s="84"/>
      <c r="D100" s="84"/>
      <c r="E100" s="84"/>
      <c r="F100" s="84"/>
      <c r="G100" s="84"/>
      <c r="H100" s="84"/>
      <c r="I100" s="40"/>
      <c r="J100" s="41"/>
      <c r="K100" s="84" t="s">
        <v>22</v>
      </c>
      <c r="L100" s="84"/>
      <c r="M100" s="42"/>
      <c r="N100" s="84"/>
      <c r="O100" s="33"/>
      <c r="P100" s="84"/>
      <c r="Q100" s="84"/>
      <c r="R100" s="159">
        <f t="shared" si="3"/>
        <v>0</v>
      </c>
      <c r="S100" s="26"/>
      <c r="T100" s="26"/>
      <c r="U100" s="44"/>
      <c r="V100" s="133"/>
      <c r="W100" s="26"/>
      <c r="X100" s="136"/>
      <c r="Y100" s="39"/>
      <c r="Z100" s="39"/>
      <c r="AA100" s="39"/>
      <c r="AD100" s="44"/>
      <c r="AE100" s="44"/>
      <c r="AF100" s="44"/>
      <c r="AG100" s="44"/>
      <c r="AH100" s="44"/>
      <c r="AI100" s="45"/>
    </row>
    <row r="101" spans="2:35" ht="15.75" hidden="1" x14ac:dyDescent="0.25">
      <c r="B101" s="94" t="s">
        <v>243</v>
      </c>
      <c r="C101" s="84"/>
      <c r="D101" s="84"/>
      <c r="E101" s="84"/>
      <c r="F101" s="84"/>
      <c r="G101" s="84"/>
      <c r="H101" s="84"/>
      <c r="I101" s="40"/>
      <c r="J101" s="41"/>
      <c r="K101" s="84" t="s">
        <v>22</v>
      </c>
      <c r="L101" s="84"/>
      <c r="M101" s="42"/>
      <c r="N101" s="84"/>
      <c r="O101" s="33"/>
      <c r="P101" s="84"/>
      <c r="Q101" s="84"/>
      <c r="R101" s="159">
        <f t="shared" si="3"/>
        <v>0</v>
      </c>
      <c r="S101" s="26"/>
      <c r="T101" s="26"/>
      <c r="U101" s="44"/>
      <c r="V101" s="133"/>
      <c r="W101" s="26"/>
      <c r="X101" s="136"/>
      <c r="Y101" s="39"/>
      <c r="Z101" s="39"/>
      <c r="AA101" s="39"/>
      <c r="AD101" s="44"/>
      <c r="AE101" s="44"/>
      <c r="AF101" s="44"/>
      <c r="AG101" s="44"/>
      <c r="AH101" s="44"/>
      <c r="AI101" s="45"/>
    </row>
    <row r="102" spans="2:35" ht="15.75" hidden="1" x14ac:dyDescent="0.25">
      <c r="B102" s="95" t="s">
        <v>244</v>
      </c>
      <c r="C102" s="84"/>
      <c r="D102" s="84"/>
      <c r="E102" s="84"/>
      <c r="F102" s="84"/>
      <c r="G102" s="84"/>
      <c r="H102" s="84"/>
      <c r="I102" s="40"/>
      <c r="J102" s="41"/>
      <c r="K102" s="84" t="s">
        <v>22</v>
      </c>
      <c r="L102" s="84"/>
      <c r="M102" s="42"/>
      <c r="N102" s="84"/>
      <c r="O102" s="33"/>
      <c r="P102" s="84"/>
      <c r="Q102" s="84"/>
      <c r="R102" s="159">
        <f t="shared" si="3"/>
        <v>0</v>
      </c>
      <c r="S102" s="26"/>
      <c r="T102" s="26"/>
      <c r="U102" s="44"/>
      <c r="V102" s="133"/>
      <c r="W102" s="26"/>
      <c r="X102" s="136"/>
      <c r="Y102" s="39"/>
      <c r="Z102" s="39"/>
      <c r="AA102" s="39"/>
      <c r="AD102" s="44"/>
      <c r="AE102" s="44"/>
      <c r="AF102" s="44"/>
      <c r="AG102" s="44"/>
      <c r="AH102" s="44"/>
      <c r="AI102" s="45"/>
    </row>
    <row r="103" spans="2:35" ht="15.75" hidden="1" x14ac:dyDescent="0.25">
      <c r="B103" s="94" t="s">
        <v>245</v>
      </c>
      <c r="C103" s="84"/>
      <c r="D103" s="84"/>
      <c r="E103" s="84"/>
      <c r="F103" s="84"/>
      <c r="G103" s="84"/>
      <c r="H103" s="84"/>
      <c r="I103" s="40"/>
      <c r="J103" s="41"/>
      <c r="K103" s="84" t="s">
        <v>22</v>
      </c>
      <c r="L103" s="84"/>
      <c r="M103" s="42"/>
      <c r="N103" s="84"/>
      <c r="O103" s="33"/>
      <c r="P103" s="84"/>
      <c r="Q103" s="84"/>
      <c r="R103" s="159">
        <f t="shared" si="3"/>
        <v>0</v>
      </c>
      <c r="S103" s="26"/>
      <c r="T103" s="26"/>
      <c r="U103" s="44"/>
      <c r="V103" s="133"/>
      <c r="W103" s="26"/>
      <c r="X103" s="136"/>
      <c r="Y103" s="39"/>
      <c r="Z103" s="39"/>
      <c r="AA103" s="39"/>
      <c r="AD103" s="44"/>
      <c r="AE103" s="44"/>
      <c r="AF103" s="44"/>
      <c r="AG103" s="44"/>
      <c r="AH103" s="44"/>
      <c r="AI103" s="45"/>
    </row>
    <row r="104" spans="2:35" ht="15.75" hidden="1" x14ac:dyDescent="0.25">
      <c r="B104" s="95" t="s">
        <v>246</v>
      </c>
      <c r="C104" s="84"/>
      <c r="D104" s="84"/>
      <c r="E104" s="84"/>
      <c r="F104" s="84"/>
      <c r="G104" s="84"/>
      <c r="H104" s="84"/>
      <c r="I104" s="40"/>
      <c r="J104" s="41"/>
      <c r="K104" s="84" t="s">
        <v>22</v>
      </c>
      <c r="L104" s="84"/>
      <c r="M104" s="42"/>
      <c r="N104" s="84"/>
      <c r="O104" s="33"/>
      <c r="P104" s="84"/>
      <c r="Q104" s="84"/>
      <c r="R104" s="159">
        <f t="shared" si="3"/>
        <v>0</v>
      </c>
      <c r="S104" s="26"/>
      <c r="T104" s="26"/>
      <c r="U104" s="44"/>
      <c r="V104" s="133"/>
      <c r="W104" s="26"/>
      <c r="X104" s="136"/>
      <c r="Y104" s="39"/>
      <c r="Z104" s="39"/>
      <c r="AA104" s="39"/>
      <c r="AD104" s="44"/>
      <c r="AE104" s="44"/>
      <c r="AF104" s="44"/>
      <c r="AG104" s="44"/>
      <c r="AH104" s="44"/>
      <c r="AI104" s="45"/>
    </row>
    <row r="105" spans="2:35" ht="15.75" hidden="1" x14ac:dyDescent="0.25">
      <c r="B105" s="94" t="s">
        <v>247</v>
      </c>
      <c r="C105" s="84"/>
      <c r="D105" s="84"/>
      <c r="E105" s="84"/>
      <c r="F105" s="84"/>
      <c r="G105" s="84"/>
      <c r="H105" s="84"/>
      <c r="I105" s="40"/>
      <c r="J105" s="41"/>
      <c r="K105" s="84" t="s">
        <v>22</v>
      </c>
      <c r="L105" s="84"/>
      <c r="M105" s="42"/>
      <c r="N105" s="84"/>
      <c r="O105" s="33"/>
      <c r="P105" s="84"/>
      <c r="Q105" s="84"/>
      <c r="R105" s="159">
        <f t="shared" si="3"/>
        <v>0</v>
      </c>
      <c r="S105" s="26"/>
      <c r="T105" s="26"/>
      <c r="U105" s="44"/>
      <c r="V105" s="133"/>
      <c r="W105" s="26"/>
      <c r="X105" s="136"/>
      <c r="Y105" s="39"/>
      <c r="Z105" s="39"/>
      <c r="AA105" s="39"/>
      <c r="AD105" s="44"/>
      <c r="AE105" s="44"/>
      <c r="AF105" s="44"/>
      <c r="AG105" s="44"/>
      <c r="AH105" s="44"/>
      <c r="AI105" s="45"/>
    </row>
    <row r="106" spans="2:35" ht="15.75" hidden="1" x14ac:dyDescent="0.25">
      <c r="B106" s="95" t="s">
        <v>248</v>
      </c>
      <c r="C106" s="84"/>
      <c r="D106" s="84"/>
      <c r="E106" s="84"/>
      <c r="F106" s="84"/>
      <c r="G106" s="84"/>
      <c r="H106" s="84"/>
      <c r="I106" s="40"/>
      <c r="J106" s="41"/>
      <c r="K106" s="84" t="s">
        <v>22</v>
      </c>
      <c r="L106" s="84"/>
      <c r="M106" s="42"/>
      <c r="N106" s="84"/>
      <c r="O106" s="33"/>
      <c r="P106" s="84"/>
      <c r="Q106" s="84"/>
      <c r="R106" s="159">
        <f t="shared" si="3"/>
        <v>0</v>
      </c>
      <c r="S106" s="26"/>
      <c r="T106" s="26"/>
      <c r="U106" s="44"/>
      <c r="V106" s="133"/>
      <c r="W106" s="26"/>
      <c r="X106" s="136"/>
      <c r="Y106" s="39"/>
      <c r="Z106" s="39"/>
      <c r="AA106" s="39"/>
      <c r="AD106" s="44"/>
      <c r="AE106" s="44"/>
      <c r="AF106" s="44"/>
      <c r="AG106" s="44"/>
      <c r="AH106" s="44"/>
      <c r="AI106" s="45"/>
    </row>
    <row r="107" spans="2:35" ht="15.75" hidden="1" x14ac:dyDescent="0.25">
      <c r="B107" s="95" t="s">
        <v>249</v>
      </c>
      <c r="C107" s="84"/>
      <c r="D107" s="84"/>
      <c r="E107" s="84"/>
      <c r="F107" s="84"/>
      <c r="G107" s="84"/>
      <c r="H107" s="84"/>
      <c r="I107" s="40"/>
      <c r="J107" s="41"/>
      <c r="K107" s="84" t="s">
        <v>22</v>
      </c>
      <c r="L107" s="84"/>
      <c r="M107" s="42"/>
      <c r="N107" s="84"/>
      <c r="O107" s="33"/>
      <c r="P107" s="84"/>
      <c r="Q107" s="84"/>
      <c r="R107" s="159">
        <f t="shared" si="3"/>
        <v>0</v>
      </c>
      <c r="S107" s="26"/>
      <c r="T107" s="26"/>
      <c r="U107" s="44"/>
      <c r="V107" s="133"/>
      <c r="W107" s="26"/>
      <c r="X107" s="136"/>
      <c r="Y107" s="39"/>
      <c r="Z107" s="39"/>
      <c r="AA107" s="39"/>
      <c r="AD107" s="44"/>
      <c r="AE107" s="44"/>
      <c r="AF107" s="44"/>
      <c r="AG107" s="44"/>
      <c r="AH107" s="44"/>
      <c r="AI107" s="45"/>
    </row>
    <row r="108" spans="2:35" ht="15.75" hidden="1" x14ac:dyDescent="0.25">
      <c r="B108" s="95" t="s">
        <v>250</v>
      </c>
      <c r="C108" s="84"/>
      <c r="D108" s="84"/>
      <c r="E108" s="84"/>
      <c r="F108" s="84"/>
      <c r="G108" s="84"/>
      <c r="H108" s="84"/>
      <c r="I108" s="40"/>
      <c r="J108" s="41"/>
      <c r="K108" s="84" t="s">
        <v>22</v>
      </c>
      <c r="L108" s="84"/>
      <c r="M108" s="42"/>
      <c r="N108" s="84"/>
      <c r="O108" s="33"/>
      <c r="P108" s="84"/>
      <c r="Q108" s="84"/>
      <c r="R108" s="159">
        <f t="shared" si="3"/>
        <v>0</v>
      </c>
      <c r="S108" s="26"/>
      <c r="T108" s="26"/>
      <c r="U108" s="44"/>
      <c r="V108" s="133"/>
      <c r="W108" s="26"/>
      <c r="X108" s="136"/>
      <c r="Y108" s="39"/>
      <c r="Z108" s="39"/>
      <c r="AA108" s="39"/>
      <c r="AD108" s="44"/>
      <c r="AE108" s="44"/>
      <c r="AF108" s="44"/>
      <c r="AG108" s="44"/>
      <c r="AH108" s="44"/>
      <c r="AI108" s="45"/>
    </row>
    <row r="109" spans="2:35" ht="15.75" hidden="1" x14ac:dyDescent="0.25">
      <c r="B109" s="95" t="s">
        <v>251</v>
      </c>
      <c r="C109" s="84"/>
      <c r="D109" s="84"/>
      <c r="E109" s="84"/>
      <c r="F109" s="84"/>
      <c r="G109" s="84"/>
      <c r="H109" s="84"/>
      <c r="I109" s="40"/>
      <c r="J109" s="41"/>
      <c r="K109" s="84" t="s">
        <v>22</v>
      </c>
      <c r="L109" s="84"/>
      <c r="M109" s="42"/>
      <c r="N109" s="84"/>
      <c r="O109" s="33"/>
      <c r="P109" s="84"/>
      <c r="Q109" s="84"/>
      <c r="R109" s="159">
        <f t="shared" si="3"/>
        <v>0</v>
      </c>
      <c r="S109" s="26"/>
      <c r="T109" s="26"/>
      <c r="U109" s="44"/>
      <c r="V109" s="133"/>
      <c r="W109" s="26"/>
      <c r="X109" s="136"/>
      <c r="Y109" s="39"/>
      <c r="Z109" s="39"/>
      <c r="AA109" s="39"/>
      <c r="AD109" s="44"/>
      <c r="AE109" s="44"/>
      <c r="AF109" s="44"/>
      <c r="AG109" s="44"/>
      <c r="AH109" s="44"/>
      <c r="AI109" s="45"/>
    </row>
    <row r="110" spans="2:35" ht="15.75" hidden="1" x14ac:dyDescent="0.25">
      <c r="B110" s="95" t="s">
        <v>252</v>
      </c>
      <c r="C110" s="84"/>
      <c r="D110" s="84"/>
      <c r="E110" s="84"/>
      <c r="F110" s="84"/>
      <c r="G110" s="84"/>
      <c r="H110" s="84"/>
      <c r="I110" s="40"/>
      <c r="J110" s="41"/>
      <c r="K110" s="84" t="s">
        <v>22</v>
      </c>
      <c r="L110" s="84"/>
      <c r="M110" s="42"/>
      <c r="N110" s="84"/>
      <c r="O110" s="33"/>
      <c r="P110" s="84"/>
      <c r="Q110" s="84"/>
      <c r="R110" s="159">
        <f t="shared" si="3"/>
        <v>0</v>
      </c>
      <c r="S110" s="26"/>
      <c r="T110" s="26"/>
      <c r="U110" s="44"/>
      <c r="V110" s="133"/>
      <c r="W110" s="26"/>
      <c r="X110" s="136"/>
      <c r="Y110" s="39"/>
      <c r="Z110" s="39"/>
      <c r="AA110" s="39"/>
      <c r="AD110" s="44"/>
      <c r="AE110" s="44"/>
      <c r="AF110" s="44"/>
      <c r="AG110" s="44"/>
      <c r="AH110" s="44"/>
      <c r="AI110" s="45"/>
    </row>
    <row r="111" spans="2:35" ht="15.75" hidden="1" x14ac:dyDescent="0.25">
      <c r="B111" s="95" t="s">
        <v>253</v>
      </c>
      <c r="C111" s="84"/>
      <c r="D111" s="84"/>
      <c r="E111" s="84"/>
      <c r="F111" s="84"/>
      <c r="G111" s="84"/>
      <c r="H111" s="84"/>
      <c r="I111" s="40"/>
      <c r="J111" s="41"/>
      <c r="K111" s="84" t="s">
        <v>22</v>
      </c>
      <c r="L111" s="84"/>
      <c r="M111" s="42"/>
      <c r="N111" s="84"/>
      <c r="O111" s="33"/>
      <c r="P111" s="84"/>
      <c r="Q111" s="84"/>
      <c r="R111" s="159">
        <f t="shared" si="3"/>
        <v>0</v>
      </c>
      <c r="S111" s="26"/>
      <c r="T111" s="26"/>
      <c r="U111" s="44"/>
      <c r="V111" s="133"/>
      <c r="W111" s="26"/>
      <c r="X111" s="136"/>
      <c r="Y111" s="39"/>
      <c r="Z111" s="39"/>
      <c r="AA111" s="39"/>
      <c r="AD111" s="44"/>
      <c r="AE111" s="44"/>
      <c r="AF111" s="44"/>
      <c r="AG111" s="44"/>
      <c r="AH111" s="44"/>
      <c r="AI111" s="45"/>
    </row>
    <row r="112" spans="2:35" ht="15.75" hidden="1" x14ac:dyDescent="0.25">
      <c r="B112" s="95" t="s">
        <v>254</v>
      </c>
      <c r="C112" s="84"/>
      <c r="D112" s="84"/>
      <c r="E112" s="84"/>
      <c r="F112" s="84"/>
      <c r="G112" s="84"/>
      <c r="H112" s="84"/>
      <c r="I112" s="40"/>
      <c r="J112" s="41"/>
      <c r="K112" s="84" t="s">
        <v>22</v>
      </c>
      <c r="L112" s="84"/>
      <c r="M112" s="42"/>
      <c r="N112" s="84"/>
      <c r="O112" s="33"/>
      <c r="P112" s="84"/>
      <c r="Q112" s="84"/>
      <c r="R112" s="159">
        <f t="shared" si="3"/>
        <v>0</v>
      </c>
      <c r="S112" s="26"/>
      <c r="T112" s="26"/>
      <c r="U112" s="44"/>
      <c r="V112" s="133"/>
      <c r="W112" s="26"/>
      <c r="X112" s="136"/>
      <c r="Y112" s="39"/>
      <c r="Z112" s="39"/>
      <c r="AA112" s="39"/>
      <c r="AD112" s="44"/>
      <c r="AE112" s="44"/>
      <c r="AF112" s="44"/>
      <c r="AG112" s="44"/>
      <c r="AH112" s="44"/>
      <c r="AI112" s="45"/>
    </row>
    <row r="113" spans="2:35" ht="15.75" hidden="1" x14ac:dyDescent="0.25">
      <c r="B113" s="46" t="s">
        <v>255</v>
      </c>
      <c r="C113" s="84"/>
      <c r="D113" s="84"/>
      <c r="E113" s="84"/>
      <c r="F113" s="84"/>
      <c r="G113" s="84"/>
      <c r="H113" s="84"/>
      <c r="I113" s="40"/>
      <c r="J113" s="41"/>
      <c r="K113" s="84" t="s">
        <v>21</v>
      </c>
      <c r="L113" s="84"/>
      <c r="M113" s="42"/>
      <c r="N113" s="84"/>
      <c r="O113" s="33"/>
      <c r="P113" s="84"/>
      <c r="Q113" s="84"/>
      <c r="R113" s="159">
        <f t="shared" si="3"/>
        <v>0</v>
      </c>
      <c r="S113" s="26"/>
      <c r="T113" s="26"/>
      <c r="U113" s="44"/>
      <c r="V113" s="133"/>
      <c r="W113" s="26"/>
      <c r="X113" s="136"/>
      <c r="Y113" s="39"/>
      <c r="Z113" s="39"/>
      <c r="AA113" s="39"/>
      <c r="AD113" s="44"/>
      <c r="AE113" s="44"/>
      <c r="AF113" s="44"/>
      <c r="AG113" s="44"/>
      <c r="AH113" s="44"/>
      <c r="AI113" s="45"/>
    </row>
    <row r="114" spans="2:35" ht="15.75" hidden="1" x14ac:dyDescent="0.25">
      <c r="B114" s="46" t="s">
        <v>256</v>
      </c>
      <c r="C114" s="84"/>
      <c r="D114" s="84"/>
      <c r="E114" s="84"/>
      <c r="F114" s="84"/>
      <c r="G114" s="84"/>
      <c r="H114" s="84"/>
      <c r="I114" s="40"/>
      <c r="J114" s="41"/>
      <c r="K114" s="84" t="s">
        <v>21</v>
      </c>
      <c r="L114" s="84"/>
      <c r="M114" s="42"/>
      <c r="N114" s="84"/>
      <c r="O114" s="33"/>
      <c r="P114" s="84"/>
      <c r="Q114" s="84"/>
      <c r="R114" s="159">
        <f t="shared" si="3"/>
        <v>0</v>
      </c>
      <c r="S114" s="26"/>
      <c r="T114" s="26"/>
      <c r="U114" s="44"/>
      <c r="V114" s="133"/>
      <c r="W114" s="26"/>
      <c r="X114" s="136"/>
      <c r="Y114" s="39"/>
      <c r="Z114" s="39"/>
      <c r="AA114" s="39"/>
      <c r="AD114" s="44"/>
      <c r="AE114" s="44"/>
      <c r="AF114" s="44"/>
      <c r="AG114" s="44"/>
      <c r="AH114" s="44"/>
      <c r="AI114" s="45"/>
    </row>
    <row r="115" spans="2:35" ht="15.75" hidden="1" x14ac:dyDescent="0.25">
      <c r="B115" s="46" t="s">
        <v>257</v>
      </c>
      <c r="C115" s="84"/>
      <c r="D115" s="84"/>
      <c r="E115" s="84"/>
      <c r="F115" s="84"/>
      <c r="G115" s="84"/>
      <c r="H115" s="84"/>
      <c r="I115" s="40"/>
      <c r="J115" s="41"/>
      <c r="K115" s="84" t="s">
        <v>29</v>
      </c>
      <c r="L115" s="84"/>
      <c r="M115" s="42"/>
      <c r="N115" s="84"/>
      <c r="O115" s="33"/>
      <c r="P115" s="84"/>
      <c r="Q115" s="84"/>
      <c r="R115" s="159">
        <f t="shared" si="3"/>
        <v>0</v>
      </c>
      <c r="S115" s="26"/>
      <c r="T115" s="26"/>
      <c r="U115" s="44"/>
      <c r="V115" s="133"/>
      <c r="W115" s="26"/>
      <c r="X115" s="136"/>
      <c r="Y115" s="39"/>
      <c r="Z115" s="39"/>
      <c r="AA115" s="39"/>
      <c r="AD115" s="44"/>
      <c r="AE115" s="44"/>
      <c r="AF115" s="44"/>
      <c r="AG115" s="44"/>
      <c r="AH115" s="44"/>
      <c r="AI115" s="45"/>
    </row>
    <row r="116" spans="2:35" ht="15.75" hidden="1" x14ac:dyDescent="0.25">
      <c r="B116" s="46" t="s">
        <v>258</v>
      </c>
      <c r="C116" s="84"/>
      <c r="D116" s="84"/>
      <c r="E116" s="84"/>
      <c r="F116" s="84"/>
      <c r="G116" s="84"/>
      <c r="H116" s="84"/>
      <c r="I116" s="40"/>
      <c r="J116" s="41"/>
      <c r="K116" s="84" t="s">
        <v>30</v>
      </c>
      <c r="L116" s="84"/>
      <c r="M116" s="42"/>
      <c r="N116" s="84"/>
      <c r="O116" s="33"/>
      <c r="P116" s="84"/>
      <c r="Q116" s="84"/>
      <c r="R116" s="159">
        <f t="shared" si="3"/>
        <v>0</v>
      </c>
      <c r="S116" s="26"/>
      <c r="T116" s="26"/>
      <c r="U116" s="44"/>
      <c r="V116" s="133"/>
      <c r="W116" s="26"/>
      <c r="X116" s="136"/>
      <c r="Y116" s="39"/>
      <c r="Z116" s="39"/>
      <c r="AA116" s="39"/>
      <c r="AD116" s="44"/>
      <c r="AE116" s="44"/>
      <c r="AF116" s="44"/>
      <c r="AG116" s="44"/>
      <c r="AH116" s="44"/>
      <c r="AI116" s="45"/>
    </row>
    <row r="117" spans="2:35" ht="15.75" hidden="1" x14ac:dyDescent="0.25">
      <c r="B117" s="46" t="s">
        <v>259</v>
      </c>
      <c r="C117" s="84"/>
      <c r="D117" s="84"/>
      <c r="E117" s="84"/>
      <c r="F117" s="84"/>
      <c r="G117" s="84"/>
      <c r="H117" s="84"/>
      <c r="I117" s="40"/>
      <c r="J117" s="41"/>
      <c r="K117" s="84" t="s">
        <v>29</v>
      </c>
      <c r="L117" s="84"/>
      <c r="M117" s="42"/>
      <c r="N117" s="84"/>
      <c r="O117" s="33"/>
      <c r="P117" s="84"/>
      <c r="Q117" s="84"/>
      <c r="R117" s="159">
        <f t="shared" si="3"/>
        <v>0</v>
      </c>
      <c r="S117" s="26"/>
      <c r="T117" s="26"/>
      <c r="U117" s="44"/>
      <c r="V117" s="133"/>
      <c r="W117" s="26"/>
      <c r="X117" s="136"/>
      <c r="Y117" s="39"/>
      <c r="Z117" s="39"/>
      <c r="AA117" s="39"/>
      <c r="AD117" s="44"/>
      <c r="AE117" s="44"/>
      <c r="AF117" s="44"/>
      <c r="AG117" s="44"/>
      <c r="AH117" s="44"/>
      <c r="AI117" s="45"/>
    </row>
    <row r="118" spans="2:35" ht="15.75" hidden="1" x14ac:dyDescent="0.25">
      <c r="B118" s="84" t="s">
        <v>204</v>
      </c>
      <c r="C118" s="84"/>
      <c r="D118" s="84"/>
      <c r="E118" s="84"/>
      <c r="F118" s="84"/>
      <c r="G118" s="84"/>
      <c r="H118" s="84"/>
      <c r="I118" s="40"/>
      <c r="J118" s="41"/>
      <c r="K118" s="84" t="s">
        <v>21</v>
      </c>
      <c r="L118" s="84"/>
      <c r="M118" s="42"/>
      <c r="N118" s="84"/>
      <c r="O118" s="33"/>
      <c r="P118" s="84"/>
      <c r="Q118" s="84"/>
      <c r="R118" s="159">
        <f t="shared" si="3"/>
        <v>0</v>
      </c>
      <c r="S118" s="26"/>
      <c r="T118" s="26"/>
      <c r="U118" s="44"/>
      <c r="V118" s="133"/>
      <c r="W118" s="26"/>
      <c r="X118" s="136"/>
      <c r="Y118" s="39"/>
      <c r="Z118" s="39"/>
      <c r="AA118" s="39"/>
      <c r="AD118" s="44"/>
      <c r="AE118" s="44"/>
      <c r="AF118" s="44"/>
      <c r="AG118" s="44"/>
      <c r="AH118" s="44"/>
      <c r="AI118" s="45"/>
    </row>
    <row r="119" spans="2:35" ht="15.75" hidden="1" x14ac:dyDescent="0.25">
      <c r="B119" s="46"/>
      <c r="C119" s="46"/>
      <c r="D119" s="46"/>
      <c r="E119" s="46"/>
      <c r="F119" s="46"/>
      <c r="G119" s="46"/>
      <c r="H119" s="46"/>
      <c r="I119" s="46"/>
      <c r="J119" s="41"/>
      <c r="K119" s="41"/>
      <c r="L119" s="41"/>
      <c r="M119" s="42"/>
      <c r="N119" s="41"/>
      <c r="O119" s="33"/>
      <c r="P119" s="41"/>
      <c r="Q119" s="41"/>
      <c r="R119" s="159">
        <f t="shared" si="3"/>
        <v>0</v>
      </c>
      <c r="S119" s="26"/>
      <c r="T119" s="26"/>
      <c r="V119" s="133"/>
      <c r="W119" s="26"/>
      <c r="X119" s="136"/>
      <c r="Y119" s="39"/>
      <c r="Z119" s="39"/>
      <c r="AA119" s="39"/>
    </row>
    <row r="120" spans="2:35" ht="15.75" hidden="1" x14ac:dyDescent="0.25">
      <c r="B120" s="46"/>
      <c r="C120" s="46"/>
      <c r="D120" s="47"/>
      <c r="E120" s="47"/>
      <c r="F120" s="40"/>
      <c r="G120" s="40"/>
      <c r="H120" s="40"/>
      <c r="I120" s="40"/>
      <c r="J120" s="41"/>
      <c r="K120" s="41"/>
      <c r="L120" s="41"/>
      <c r="M120" s="33"/>
      <c r="N120" s="41"/>
      <c r="O120" s="33"/>
      <c r="P120" s="41"/>
      <c r="Q120" s="41"/>
      <c r="R120" s="159">
        <f t="shared" si="3"/>
        <v>0</v>
      </c>
      <c r="S120" s="26"/>
      <c r="T120" s="26"/>
      <c r="V120" s="133"/>
      <c r="W120" s="26"/>
      <c r="X120" s="136"/>
      <c r="Y120" s="39"/>
      <c r="Z120" s="39"/>
      <c r="AA120" s="39"/>
    </row>
    <row r="121" spans="2:35" ht="15.75" hidden="1" x14ac:dyDescent="0.25">
      <c r="B121" s="46"/>
      <c r="C121" s="46"/>
      <c r="D121" s="47"/>
      <c r="E121" s="47"/>
      <c r="F121" s="47"/>
      <c r="G121" s="47"/>
      <c r="H121" s="47"/>
      <c r="I121" s="47"/>
      <c r="J121" s="41"/>
      <c r="K121" s="41"/>
      <c r="L121" s="41"/>
      <c r="M121" s="33"/>
      <c r="N121" s="41"/>
      <c r="O121" s="48"/>
      <c r="P121" s="41"/>
      <c r="Q121" s="41"/>
      <c r="R121" s="159">
        <f t="shared" si="3"/>
        <v>0</v>
      </c>
      <c r="S121" s="7"/>
      <c r="T121" s="7"/>
      <c r="V121" s="134"/>
      <c r="W121" s="7"/>
      <c r="X121" s="137"/>
      <c r="Y121" s="35"/>
      <c r="Z121" s="35"/>
      <c r="AA121" s="35"/>
    </row>
    <row r="122" spans="2:35" ht="15.75" hidden="1" x14ac:dyDescent="0.25">
      <c r="B122" s="46"/>
      <c r="C122" s="46"/>
      <c r="D122" s="47"/>
      <c r="E122" s="45"/>
      <c r="F122" s="47"/>
      <c r="G122" s="47"/>
      <c r="H122" s="47"/>
      <c r="I122" s="47"/>
      <c r="J122" s="41"/>
      <c r="K122" s="41"/>
      <c r="L122" s="41"/>
      <c r="M122" s="42"/>
      <c r="N122" s="41"/>
      <c r="O122" s="48"/>
      <c r="P122" s="41"/>
      <c r="Q122" s="41"/>
      <c r="R122" s="159">
        <f t="shared" si="3"/>
        <v>0</v>
      </c>
      <c r="S122" s="7"/>
      <c r="T122" s="7"/>
      <c r="U122" s="6"/>
      <c r="V122" s="134"/>
      <c r="W122" s="7"/>
      <c r="X122" s="137"/>
      <c r="Y122" s="35"/>
      <c r="Z122" s="35"/>
      <c r="AA122" s="35"/>
      <c r="AD122" s="6"/>
      <c r="AE122" s="6"/>
      <c r="AF122" s="6"/>
      <c r="AG122" s="6"/>
      <c r="AH122" s="6"/>
      <c r="AI122" s="10"/>
    </row>
    <row r="123" spans="2:35" ht="15.75" hidden="1" x14ac:dyDescent="0.25">
      <c r="B123" s="46"/>
      <c r="C123" s="46"/>
      <c r="D123" s="40"/>
      <c r="E123" s="47"/>
      <c r="F123" s="40"/>
      <c r="G123" s="40"/>
      <c r="H123" s="40"/>
      <c r="I123" s="40"/>
      <c r="J123" s="47"/>
      <c r="K123" s="47"/>
      <c r="L123" s="47"/>
      <c r="M123" s="48"/>
      <c r="N123" s="47"/>
      <c r="O123" s="48"/>
      <c r="P123" s="47"/>
      <c r="Q123" s="47"/>
      <c r="R123" s="159">
        <f t="shared" si="3"/>
        <v>0</v>
      </c>
      <c r="S123" s="7"/>
      <c r="T123" s="7"/>
      <c r="U123" s="6"/>
      <c r="V123" s="134"/>
      <c r="W123" s="7"/>
      <c r="X123" s="137"/>
      <c r="Y123" s="35"/>
      <c r="Z123" s="35"/>
      <c r="AA123" s="35"/>
      <c r="AD123" s="6"/>
      <c r="AE123" s="6"/>
      <c r="AF123" s="6"/>
      <c r="AG123" s="6"/>
      <c r="AH123" s="6"/>
      <c r="AI123" s="10"/>
    </row>
    <row r="124" spans="2:35" ht="15.75" hidden="1" x14ac:dyDescent="0.25">
      <c r="B124" s="46"/>
      <c r="C124" s="46"/>
      <c r="D124" s="47"/>
      <c r="E124" s="45"/>
      <c r="F124" s="49"/>
      <c r="G124" s="49"/>
      <c r="H124" s="49"/>
      <c r="I124" s="49"/>
      <c r="J124" s="49"/>
      <c r="K124" s="49"/>
      <c r="L124" s="49"/>
      <c r="M124" s="50"/>
      <c r="N124" s="49"/>
      <c r="O124" s="48"/>
      <c r="P124" s="49"/>
      <c r="Q124" s="49"/>
      <c r="R124" s="159">
        <f t="shared" si="3"/>
        <v>0</v>
      </c>
      <c r="S124" s="125"/>
      <c r="T124" s="125"/>
      <c r="U124" s="52"/>
      <c r="V124" s="135"/>
      <c r="W124" s="125"/>
      <c r="X124" s="138"/>
      <c r="Y124" s="51"/>
      <c r="Z124" s="51"/>
      <c r="AA124" s="51"/>
      <c r="AD124" s="52"/>
      <c r="AE124" s="52"/>
      <c r="AF124" s="52"/>
      <c r="AG124" s="52"/>
      <c r="AH124" s="52"/>
      <c r="AI124" s="52"/>
    </row>
    <row r="125" spans="2:35" ht="15" x14ac:dyDescent="0.2">
      <c r="B125" s="52" t="s">
        <v>11</v>
      </c>
      <c r="C125" s="4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</row>
    <row r="126" spans="2:35" ht="15" x14ac:dyDescent="0.2">
      <c r="B126" s="52" t="s">
        <v>12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</row>
    <row r="127" spans="2:35" ht="15" x14ac:dyDescent="0.2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</row>
    <row r="128" spans="2:35" ht="18" x14ac:dyDescent="0.25">
      <c r="B128" s="13" t="s">
        <v>685</v>
      </c>
    </row>
  </sheetData>
  <sheetProtection algorithmName="SHA-512" hashValue="VFb+9B08fOQLCjo1Rd5Zudt90q59p/qUy3qsamySAew+/Y8rpV9I40yBfqiBWW/qKSwyvTwfGOtIy93XyfUlWw==" saltValue="2It/KeT5OIgHPs+HfmsF9w==" spinCount="100000" sheet="1" formatCells="0" formatColumns="0" formatRows="0" deleteColumns="0" deleteRows="0" sort="0" autoFilter="0"/>
  <autoFilter ref="M86:R86" xr:uid="{00000000-0009-0000-0000-000000000000}"/>
  <mergeCells count="33">
    <mergeCell ref="H8:P8"/>
    <mergeCell ref="B19:AI19"/>
    <mergeCell ref="H14:T14"/>
    <mergeCell ref="H15:AI15"/>
    <mergeCell ref="B10:C10"/>
    <mergeCell ref="H16:AI16"/>
    <mergeCell ref="H17:AI17"/>
    <mergeCell ref="J9:K9"/>
    <mergeCell ref="AH10:AI10"/>
    <mergeCell ref="AH11:AI11"/>
    <mergeCell ref="AH12:AI12"/>
    <mergeCell ref="AH13:AI13"/>
    <mergeCell ref="AH14:AI14"/>
    <mergeCell ref="D10:H10"/>
    <mergeCell ref="AF10:AG10"/>
    <mergeCell ref="AF11:AG11"/>
    <mergeCell ref="J20:K20"/>
    <mergeCell ref="J71:K71"/>
    <mergeCell ref="R71:S71"/>
    <mergeCell ref="AF71:AG71"/>
    <mergeCell ref="L20:M20"/>
    <mergeCell ref="L71:M71"/>
    <mergeCell ref="B85:AI85"/>
    <mergeCell ref="D83:F83"/>
    <mergeCell ref="B70:AI70"/>
    <mergeCell ref="D84:F84"/>
    <mergeCell ref="B78:D78"/>
    <mergeCell ref="B80:AH82"/>
    <mergeCell ref="AF12:AG12"/>
    <mergeCell ref="AF13:AG13"/>
    <mergeCell ref="AF14:AG14"/>
    <mergeCell ref="R20:S20"/>
    <mergeCell ref="AF20:AG20"/>
  </mergeCells>
  <phoneticPr fontId="2" type="noConversion"/>
  <conditionalFormatting sqref="J21:J65">
    <cfRule type="expression" priority="3">
      <formula>IF($K$21:$K$65&gt;38,$K$21:$K$65&lt;35)</formula>
    </cfRule>
  </conditionalFormatting>
  <conditionalFormatting sqref="J72:J76">
    <cfRule type="expression" priority="13">
      <formula>IF($K$21:$K$65&gt;38,$K$21:$K$65&lt;35)</formula>
    </cfRule>
  </conditionalFormatting>
  <conditionalFormatting sqref="K21:L65">
    <cfRule type="expression" dxfId="2" priority="2">
      <formula>AND($G$21&gt;38,$G$21&lt;35)</formula>
    </cfRule>
  </conditionalFormatting>
  <conditionalFormatting sqref="K72:L76">
    <cfRule type="expression" dxfId="1" priority="1">
      <formula>AND($G$21&gt;38,$G$21&lt;35)</formula>
    </cfRule>
  </conditionalFormatting>
  <dataValidations xWindow="1039" yWindow="579" count="3">
    <dataValidation allowBlank="1" showInputMessage="1" showErrorMessage="1" promptTitle="Цвет краски" prompt="Укажите цвет краски" sqref="S72:S76 S21:S65" xr:uid="{00000000-0002-0000-0000-000000000000}"/>
    <dataValidation type="list" allowBlank="1" showInputMessage="1" showErrorMessage="1" sqref="AE21:AE65 AE72:AE76" xr:uid="{00000000-0002-0000-0000-000001000000}">
      <formula1>C21:D21</formula1>
    </dataValidation>
    <dataValidation type="list" allowBlank="1" showInputMessage="1" showErrorMessage="1" sqref="J72:J76 J21:J65" xr:uid="{00000000-0002-0000-0000-000002000000}">
      <formula1>C21:D21</formula1>
    </dataValidation>
  </dataValidations>
  <hyperlinks>
    <hyperlink ref="AI5" r:id="rId1" xr:uid="{00000000-0004-0000-0000-000000000000}"/>
  </hyperlinks>
  <pageMargins left="0.39370078740157483" right="0.39370078740157483" top="0.31496062992125984" bottom="0.31496062992125984" header="0.39370078740157483" footer="0.39370078740157483"/>
  <pageSetup paperSize="9" scale="45" fitToHeight="0" orientation="landscape" useFirstPageNumber="1" horizontalDpi="300" verticalDpi="300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xWindow="1039" yWindow="579" count="20">
        <x14:dataValidation type="list" allowBlank="1" showInputMessage="1" showErrorMessage="1" promptTitle="Тип покрытия Rфасадов" prompt="Выберите тип покрытия гнутоклеенных деталей из выпадающего списка" xr:uid="{00000000-0002-0000-0000-000003000000}">
          <x14:formula1>
            <xm:f>Наименования!$M$15:$M$25</xm:f>
          </x14:formula1>
          <xm:sqref>C119:I119</xm:sqref>
        </x14:dataValidation>
        <x14:dataValidation type="list" allowBlank="1" showInputMessage="1" showErrorMessage="1" promptTitle="Тип порытия плоских деталей" prompt="Выберите тип покрытия из выпадающего списка" xr:uid="{00000000-0002-0000-0000-000004000000}">
          <x14:formula1>
            <xm:f>Наименования!$M$4:$M$14</xm:f>
          </x14:formula1>
          <xm:sqref>C87:H118</xm:sqref>
        </x14:dataValidation>
        <x14:dataValidation type="list" allowBlank="1" showInputMessage="1" showErrorMessage="1" xr:uid="{00000000-0002-0000-0000-000005000000}">
          <x14:formula1>
            <xm:f>Наименования!$F$5:$F$8</xm:f>
          </x14:formula1>
          <xm:sqref>AF72:AF76 AF21:AF65</xm:sqref>
        </x14:dataValidation>
        <x14:dataValidation type="list" allowBlank="1" showInputMessage="1" showErrorMessage="1" xr:uid="{00000000-0002-0000-0000-000006000000}">
          <x14:formula1>
            <xm:f>Наименования!$K$5:$K$14</xm:f>
          </x14:formula1>
          <xm:sqref>U21:V65 U72:V76</xm:sqref>
        </x14:dataValidation>
        <x14:dataValidation type="list" allowBlank="1" showInputMessage="1" showErrorMessage="1" xr:uid="{00000000-0002-0000-0000-000007000000}">
          <x14:formula1>
            <xm:f>Наименования!$K$32:$K$34</xm:f>
          </x14:formula1>
          <xm:sqref>P72:Q76 P21:Q65</xm:sqref>
        </x14:dataValidation>
        <x14:dataValidation type="list" allowBlank="1" showInputMessage="1" showErrorMessage="1" xr:uid="{00000000-0002-0000-0000-000008000000}">
          <x14:formula1>
            <xm:f>Наименование!$C$6:$C$7</xm:f>
          </x14:formula1>
          <xm:sqref>F72</xm:sqref>
        </x14:dataValidation>
        <x14:dataValidation type="list" allowBlank="1" showInputMessage="1" showErrorMessage="1" xr:uid="{00000000-0002-0000-0000-000009000000}">
          <x14:formula1>
            <xm:f>Наименования!$C$5:$C$6</xm:f>
          </x14:formula1>
          <xm:sqref>F73:F76</xm:sqref>
        </x14:dataValidation>
        <x14:dataValidation type="list" allowBlank="1" showInputMessage="1" showErrorMessage="1" xr:uid="{00000000-0002-0000-0000-00000A000000}">
          <x14:formula1>
            <xm:f>Наименование!$C$5:$C$9</xm:f>
          </x14:formula1>
          <xm:sqref>F21:F65</xm:sqref>
        </x14:dataValidation>
        <x14:dataValidation type="list" allowBlank="1" showInputMessage="1" showErrorMessage="1" xr:uid="{00000000-0002-0000-0000-00000B000000}">
          <x14:formula1>
            <xm:f>Наименование!$E$5:$E$8</xm:f>
          </x14:formula1>
          <xm:sqref>I72:I76 I21:I65</xm:sqref>
        </x14:dataValidation>
        <x14:dataValidation type="list" allowBlank="1" showInputMessage="1" showErrorMessage="1" xr:uid="{00000000-0002-0000-0000-00000C000000}">
          <x14:formula1>
            <xm:f>Наименование!$K$43:$K$45</xm:f>
          </x14:formula1>
          <xm:sqref>O72:O76 O21:O65</xm:sqref>
        </x14:dataValidation>
        <x14:dataValidation type="list" allowBlank="1" showInputMessage="1" showErrorMessage="1" promptTitle="Фрезерование кромки по периметру" prompt="Выберите из выпадающего списка тип фрезерования по периметру детали" xr:uid="{00000000-0002-0000-0000-00000F000000}">
          <x14:formula1>
            <xm:f>Лист1!$O$4:$O$12</xm:f>
          </x14:formula1>
          <xm:sqref>H72:H76 H21:H65</xm:sqref>
        </x14:dataValidation>
        <x14:dataValidation type="list" allowBlank="1" showInputMessage="1" showErrorMessage="1" xr:uid="{00000000-0002-0000-0000-000010000000}">
          <x14:formula1>
            <xm:f>Лист1!$G$5:$G$10</xm:f>
          </x14:formula1>
          <xm:sqref>L72:L76 L21:L65</xm:sqref>
        </x14:dataValidation>
        <x14:dataValidation type="list" allowBlank="1" showInputMessage="1" showErrorMessage="1" promptTitle="Цвет краски" prompt="Укажите цвет краски" xr:uid="{00000000-0002-0000-0000-000011000000}">
          <x14:formula1>
            <xm:f>Лист1!$G$5:$G$10</xm:f>
          </x14:formula1>
          <xm:sqref>R72:R76 R21:R65</xm:sqref>
        </x14:dataValidation>
        <x14:dataValidation type="list" allowBlank="1" showInputMessage="1" showErrorMessage="1" xr:uid="{00000000-0002-0000-0000-000013000000}">
          <x14:formula1>
            <xm:f>Лист1!$T$5:$T$8</xm:f>
          </x14:formula1>
          <xm:sqref>AG72:AG76 AG21:AG65</xm:sqref>
        </x14:dataValidation>
        <x14:dataValidation type="list" allowBlank="1" showInputMessage="1" showErrorMessage="1" xr:uid="{00000000-0002-0000-0000-000014000000}">
          <x14:formula1>
            <xm:f>Наименование!$M$42:$M$95</xm:f>
          </x14:formula1>
          <xm:sqref>G72:G76 G21:G65</xm:sqref>
        </x14:dataValidation>
        <x14:dataValidation type="list" allowBlank="1" showInputMessage="1" showErrorMessage="1" xr:uid="{00000000-0002-0000-0000-000015000000}">
          <x14:formula1>
            <xm:f>Наименование!$H$5:$H$25</xm:f>
          </x14:formula1>
          <xm:sqref>K72:K76</xm:sqref>
        </x14:dataValidation>
        <x14:dataValidation type="list" allowBlank="1" showInputMessage="1" showErrorMessage="1" xr:uid="{00000000-0002-0000-0000-000012000000}">
          <x14:formula1>
            <xm:f>Лист1!$K$5:$K$16</xm:f>
          </x14:formula1>
          <xm:sqref>T21:T65 T72:T76</xm:sqref>
        </x14:dataValidation>
        <x14:dataValidation type="list" allowBlank="1" showInputMessage="1" showErrorMessage="1" xr:uid="{08223299-5F80-44E8-BCD0-889A067DEFE4}">
          <x14:formula1>
            <xm:f>Наименование!$H$5:$H$37</xm:f>
          </x14:formula1>
          <xm:sqref>K21:K65</xm:sqref>
        </x14:dataValidation>
        <x14:dataValidation type="list" allowBlank="1" showInputMessage="1" showErrorMessage="1" promptTitle="Лицевая сторона" prompt="Тип покрытия на лицевой стороне детали" xr:uid="{00000000-0002-0000-0000-00000D000000}">
          <x14:formula1>
            <xm:f>Наименование!$L$5:$L$15</xm:f>
          </x14:formula1>
          <xm:sqref>AB72:AB76 AB21:AB65</xm:sqref>
        </x14:dataValidation>
        <x14:dataValidation type="list" allowBlank="1" showInputMessage="1" showErrorMessage="1" promptTitle="Тыльная сторона" prompt="Тип покрытия на тыльной стороне детали" xr:uid="{00000000-0002-0000-0000-00000E000000}">
          <x14:formula1>
            <xm:f>Наименование!$L$5:$L$17</xm:f>
          </x14:formula1>
          <xm:sqref>AC72:AC76 AC21:AC65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S399"/>
  <sheetViews>
    <sheetView topLeftCell="A91" zoomScale="55" zoomScaleNormal="55" workbookViewId="0">
      <selection activeCell="H82" sqref="H82"/>
    </sheetView>
  </sheetViews>
  <sheetFormatPr defaultColWidth="11.5703125" defaultRowHeight="12.75" x14ac:dyDescent="0.2"/>
  <cols>
    <col min="1" max="1" width="5.28515625" style="163" customWidth="1"/>
    <col min="2" max="2" width="8.28515625" style="163" customWidth="1"/>
    <col min="3" max="4" width="16.42578125" style="163" customWidth="1"/>
    <col min="5" max="5" width="10.28515625" style="163" customWidth="1"/>
    <col min="6" max="6" width="9.7109375" style="163" customWidth="1"/>
    <col min="7" max="7" width="18.28515625" style="163" bestFit="1" customWidth="1"/>
    <col min="8" max="8" width="4.85546875" style="163" customWidth="1"/>
    <col min="9" max="9" width="15.7109375" style="163" customWidth="1"/>
    <col min="10" max="10" width="20.28515625" style="163" bestFit="1" customWidth="1"/>
    <col min="11" max="11" width="19.5703125" style="163" customWidth="1"/>
    <col min="12" max="12" width="14.42578125" style="163" customWidth="1"/>
    <col min="13" max="13" width="23.140625" style="163" customWidth="1"/>
    <col min="14" max="14" width="14.28515625" style="163" customWidth="1"/>
    <col min="15" max="15" width="11.42578125" style="163" customWidth="1"/>
    <col min="16" max="16" width="16.5703125" style="163" customWidth="1"/>
    <col min="17" max="17" width="12.28515625" style="163" customWidth="1"/>
    <col min="18" max="18" width="11" style="163" customWidth="1"/>
    <col min="19" max="19" width="15.85546875" style="163" customWidth="1"/>
    <col min="20" max="20" width="14.85546875" style="163" customWidth="1"/>
    <col min="21" max="21" width="15.42578125" style="163" customWidth="1"/>
    <col min="22" max="22" width="15" style="163" bestFit="1" customWidth="1"/>
    <col min="23" max="23" width="14.5703125" style="163" customWidth="1"/>
    <col min="24" max="24" width="18.28515625" style="163" bestFit="1" customWidth="1"/>
    <col min="25" max="25" width="13.140625" style="163" customWidth="1"/>
    <col min="26" max="26" width="15.42578125" style="163" customWidth="1"/>
    <col min="27" max="28" width="13.140625" style="163" customWidth="1"/>
    <col min="29" max="29" width="12.42578125" style="163" bestFit="1" customWidth="1"/>
    <col min="30" max="30" width="12.42578125" style="163" customWidth="1"/>
    <col min="31" max="31" width="16.42578125" style="163" bestFit="1" customWidth="1"/>
    <col min="32" max="32" width="11" style="163" customWidth="1"/>
    <col min="33" max="33" width="16.28515625" style="163" customWidth="1"/>
    <col min="34" max="34" width="13.7109375" style="163" customWidth="1"/>
    <col min="35" max="35" width="15.28515625" style="163" customWidth="1"/>
    <col min="36" max="36" width="24.140625" style="163" customWidth="1"/>
    <col min="37" max="38" width="12.42578125" style="163" customWidth="1"/>
    <col min="39" max="39" width="3.5703125" style="163" hidden="1" customWidth="1"/>
    <col min="40" max="40" width="11.28515625" style="163" hidden="1" customWidth="1"/>
    <col min="41" max="41" width="13.7109375" style="163" hidden="1" customWidth="1"/>
    <col min="42" max="42" width="9.7109375" style="163" bestFit="1" customWidth="1"/>
    <col min="43" max="43" width="12.28515625" style="163" customWidth="1"/>
    <col min="44" max="44" width="11.5703125" style="163" customWidth="1"/>
    <col min="45" max="45" width="63.5703125" style="163" customWidth="1"/>
    <col min="46" max="47" width="11.5703125" style="163" customWidth="1"/>
    <col min="48" max="48" width="19.140625" style="163" customWidth="1"/>
    <col min="49" max="49" width="18" style="163" customWidth="1"/>
    <col min="50" max="16384" width="11.5703125" style="163"/>
  </cols>
  <sheetData>
    <row r="1" spans="1:45" ht="20.25" x14ac:dyDescent="0.3">
      <c r="B1" s="177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80"/>
    </row>
    <row r="2" spans="1:45" ht="20.25" x14ac:dyDescent="0.3">
      <c r="A2" s="181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>
        <f>IF(OR($C3=0,$C3=""),0,IF(AND(OR($T3="",$T3=0),$V3="Матове",OR($F3=4,$F3=6,$F3=8,$F3=10,$F3=16)),$AG3*Прайс!$F$10,IF(AND(OR($T3="",$T3=0),$V3="Матове+акрил",OR($F3=4,$F3=6,$F3=8,$F3=10,$F3=16)),$AG3*Прайс!#REF!,IF(AND(OR($T3="",$T3=0),$V3="Софт(TS)",OR($F3=4,$F3=6,$F3=8,$F3=10,$F3=16)),$AG3*Прайс!$F$11,IF(AND(OR($T3="",$T3=0),$V3="Глянець",OR($F3=4,$F3=6,$F3=8,$F3=10,$F3=16)),$AG3*Прайс!$F$12,IF(AND(OR($T3="Перл.ср.",$T3="Перл.зол."),OR($F3=4,$F3=6,$F3=8,$F3=10,$F3=16)),$AG3*Прайс!$F$13,IF(AND($T3="Гума",OR($F3=4,$F3=6,$F3=8,$F3=10,$F3=16)),$AG3*Прайс!$F$14,IF(AND($T3="Металік",OR($F3=4,$F3=6,$F3=8,$F3=10,$F3=16)),$AG3*Прайс!$F$15,IF(AND($T3="Рідке скло",OR($F3=4,$F3=6,$F3=8,$F3=10,$F3=16)),$AG3*Прайс!$F$16,IF(AND(OR($T3="Перли",$T3="Графіт"),OR($F3=4,$F3=6,$F3=8,$F3=10,$F3=16)),$AG3*Прайс!$F$17,IF(AND(OR($T3="Зор.н.ср.",$T3="Зор.н.зол.",$T3="Зор.н.різн."),OR($F3=4,$F3=6,$F3=8,$F3=10,$F3=16)),$AG3*Прайс!$F$18,IF(AND(,$T3="2-х кол.х.",OR($F3=4,$F3=6,$F3=8,$F3=10,$F3=16)),$AG3*Прайс!$F$19,IF(AND($T3="3-х кол.х.",OR($F3=4,$F3=6,$F3=8,$F3=10,$F3=16)),$AG3*Прайс!$F$20,IF(AND($T3="Фотодрук",OR($F3=4,$F3=6,$F3=8,$F3=10,$F3=16)),$AG3*Прайс!$F$21,0))))))))))))))</f>
        <v>0</v>
      </c>
      <c r="AA2" s="182"/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</row>
    <row r="3" spans="1:45" ht="51.75" customHeight="1" x14ac:dyDescent="0.2">
      <c r="B3" s="183" t="s">
        <v>3</v>
      </c>
      <c r="C3" s="183" t="s">
        <v>77</v>
      </c>
      <c r="D3" s="183" t="s">
        <v>79</v>
      </c>
      <c r="E3" s="183" t="s">
        <v>78</v>
      </c>
      <c r="F3" s="183" t="s">
        <v>80</v>
      </c>
      <c r="G3" s="183" t="s">
        <v>316</v>
      </c>
      <c r="H3" s="184" t="s">
        <v>324</v>
      </c>
      <c r="I3" s="183" t="s">
        <v>86</v>
      </c>
      <c r="J3" s="382" t="s">
        <v>349</v>
      </c>
      <c r="K3" s="383"/>
      <c r="L3" s="382" t="s">
        <v>81</v>
      </c>
      <c r="M3" s="383"/>
      <c r="N3" s="185" t="s">
        <v>371</v>
      </c>
      <c r="O3" s="185" t="s">
        <v>372</v>
      </c>
      <c r="P3" s="382" t="s">
        <v>341</v>
      </c>
      <c r="Q3" s="383"/>
      <c r="R3" s="185" t="s">
        <v>341</v>
      </c>
      <c r="S3" s="186" t="s">
        <v>355</v>
      </c>
      <c r="T3" s="384" t="s">
        <v>82</v>
      </c>
      <c r="U3" s="384"/>
      <c r="V3" s="183" t="s">
        <v>83</v>
      </c>
      <c r="W3" s="183" t="s">
        <v>317</v>
      </c>
      <c r="X3" s="183" t="s">
        <v>87</v>
      </c>
      <c r="Y3" s="187" t="s">
        <v>84</v>
      </c>
      <c r="Z3" s="188" t="s">
        <v>373</v>
      </c>
      <c r="AA3" s="188" t="s">
        <v>374</v>
      </c>
      <c r="AB3" s="188" t="s">
        <v>375</v>
      </c>
      <c r="AC3" s="382" t="s">
        <v>347</v>
      </c>
      <c r="AD3" s="383"/>
      <c r="AE3" s="187" t="s">
        <v>348</v>
      </c>
      <c r="AF3" s="380" t="s">
        <v>205</v>
      </c>
      <c r="AG3" s="381"/>
      <c r="AH3" s="183" t="s">
        <v>76</v>
      </c>
      <c r="AI3" s="186" t="s">
        <v>85</v>
      </c>
      <c r="AJ3" s="164"/>
      <c r="AK3" s="189"/>
      <c r="AL3" s="189"/>
      <c r="AM3" s="189"/>
      <c r="AN3" s="189"/>
      <c r="AO3" s="189"/>
      <c r="AP3" s="164"/>
      <c r="AQ3" s="164"/>
    </row>
    <row r="4" spans="1:45" s="190" customFormat="1" ht="54" customHeight="1" x14ac:dyDescent="0.2">
      <c r="B4" s="191">
        <v>1</v>
      </c>
      <c r="C4" s="192" t="str">
        <f>IF(Бланк!$C21="","",Бланк!$C21/1000)</f>
        <v/>
      </c>
      <c r="D4" s="192" t="str">
        <f>IF(Бланк!$D21="","",Бланк!$D21/1000)</f>
        <v/>
      </c>
      <c r="E4" s="192" t="str">
        <f>IF(Бланк!$E21="","",Бланк!$E21)</f>
        <v/>
      </c>
      <c r="F4" s="192" t="str">
        <f>IF(Бланк!$F21="","",Бланк!$F21)</f>
        <v/>
      </c>
      <c r="G4" s="192" t="str">
        <f>IF(Бланк!$G21="","",Бланк!$G21)</f>
        <v/>
      </c>
      <c r="H4" s="193" t="str">
        <f>IF($G4="","",VLOOKUP($G4,Наименование!$M$42:$N$95,2,FALSE))</f>
        <v/>
      </c>
      <c r="I4" s="192" t="str">
        <f>IF(Бланк!$H21="","",Бланк!$H21)</f>
        <v/>
      </c>
      <c r="J4" s="192" t="str">
        <f>IF(Бланк!$I21="","",Бланк!$I21)</f>
        <v/>
      </c>
      <c r="K4" s="194" t="str">
        <f>IF(OR($J4="",$J4=0),"",IF($J4="Пряма з чвертю",(Прайс!$D$106+Прайс!$D$109)*Просчет!$E4,IF($J4="Пряма без чверті",Прайс!$D$106*Просчет!$E4,IF(AND($J4="Шпрос з чвертю",OR($C4&lt;1,$C4=1)),(Прайс!$D$37+Прайс!$D$40)*Просчет!$E4,IF(AND($J4="Шпрос з чвертю",$C4&gt;1),(Прайс!$F$37+Прайс!$D$40)*Просчет!$E4,IF(AND($J4="Шпрос без чверті",OR($C4&lt;1,$C4=1)),Прайс!$D$37*Просчет!$E4,IF(AND($J4="Шпрос без чверті",$C4&gt;1),Прайс!$F$37*Просчет!$E4,"")))))))</f>
        <v/>
      </c>
      <c r="L4" s="192" t="str">
        <f>IF(Бланк!$J21="","",Бланк!$J21/1000)</f>
        <v/>
      </c>
      <c r="M4" s="192" t="str">
        <f>IF(Бланк!$K21="","",Бланк!$K21)</f>
        <v/>
      </c>
      <c r="N4" s="195">
        <f>IF($G4="гладкий",IF($M4="","",IF(OR($M4="J № 1",$M4="J № 2",$M4="J № 2L",$M4="J № 2R",$M4="AJ № 2",$M4="AJ № 2L",$M4="AJ № 2R",$M4="U",$M4="V"),$L4*$E4,IF(OR($M4="J № 3L",$M4="J № 3R",$M4="J № 4L",$M4="J № 4R",$M4="J № 5L",$M4="J № 5R"),$L4/2*$E4,IF($M4="45 град.",$L4*$E4,0)))),0)</f>
        <v>0</v>
      </c>
      <c r="O4" s="194">
        <f>IF($G4="гладкий",IF($M4="","",IF(OR($M4="J № 1",$M4="J № 2",$M4="J № 2L",$M4="J № 2R",$M4="AJ № 2",$M4="AJ № 2L",$M4="AJ № 2R",$M4="U",$M4="V"),$N4*Прайс!$D$43,IF(OR($M4="AJ № 3R",$M4="AJ № 4R",$M4="AJ № 5R",$M4="AJ № 3L",$M4="AJ № 4L",$M4="AJ № 5L",$M4="AJ № 3",$M4="AJ № 4",$M4="AJ № 5",$M4="J № 3",$M4="J № 4",$M4="J № 5",$M4="J № 6",$M4="J № 7",$M4="L",$M4="AL"),Прайс!$D$43*$E4,IF(OR($M4="J № 3L",$M4="J № 3R",$M4="J № 4L",$M4="J № 4R",$M4="J № 5L",$M4="J № 5R"),$N4/2*Прайс!$D$47*$E4,IF($M4="45 град.",$N4*Прайс!$D$42,0))))),0)</f>
        <v>0</v>
      </c>
      <c r="P4" s="192" t="str">
        <f>IF(Бланк!$L21="","",Бланк!$L21)</f>
        <v/>
      </c>
      <c r="Q4" s="192" t="str">
        <f>IF(Бланк!$M21="","",Бланк!$M21)</f>
        <v/>
      </c>
      <c r="R4" s="194">
        <f>IF($P4="",0,IF($Q4=$U4,0,IF($Q4="",0,IF(OR($G4=35,$G4=36,$G4=37,$G4=38),Прайс!$D$118*Бланк!E21,IF(AND($G4="гладкий",OR($M4="J № 1",$M4="J № 2",$M4="J № 2L",$M4="J № 2R")),$N4*Прайс!$D$59,0)))))</f>
        <v>0</v>
      </c>
      <c r="S4" s="192" t="str">
        <f>IF(OR(Бланк!$O21=0,Бланк!$O21=""),"",1)</f>
        <v/>
      </c>
      <c r="T4" s="192" t="str">
        <f>IF(Бланк!$R21="","",Бланк!$R21)</f>
        <v/>
      </c>
      <c r="U4" s="192" t="str">
        <f>IF(Бланк!$S21="","",Бланк!$S21)</f>
        <v/>
      </c>
      <c r="V4" s="192" t="str">
        <f>IF(Бланк!$T21="","",Бланк!$T21)</f>
        <v/>
      </c>
      <c r="W4" s="196" t="str">
        <f>IF(Бланк!$W21="","",Бланк!$W21)</f>
        <v/>
      </c>
      <c r="X4" s="197" t="str">
        <f>IF(Бланк!AB21="","",Бланк!AB21)</f>
        <v/>
      </c>
      <c r="Y4" s="197" t="str">
        <f>IF(Бланк!AC21="","",Бланк!AC21)</f>
        <v/>
      </c>
      <c r="Z4" s="195">
        <f>IF($G4="Гладкий",IF(OR($C4=0,$C4=""),0,IF(AND(OR($V4="Перли",$V4="Металік",$V4="Перл.зол.",$V4="Перл.ср.",$V4="Перл.зол.",$V4="Зор.н.ср.",$V4="Зор.н.зол.",$V4="Зор.н.різн.",$V4="Гума"),OR($F4=4,$F4=6,$F4=8,$F4=10,$F4=16)),$AI4*Прайс!$D$12,IF(AND(OR($V4="",$V4=0),$X4="Матове",OR($F4=4,$F4=6,$F4=8,$F4=10,$F4=16)),$AI4*Прайс!$D$10,IF(AND(OR($V4="",$V4=0),$X4="Глянець",OR($F4=4,$F4=6,$F4=8,$F4=10,$F4=16)),$AI4*Прайс!$D$11,IF(AND(OR($V4="",$V4=0),$X4="Софт(TS)",OR($F4=4,$F4=6,$F4=8,$F4=10,$F4=16)),$AI4*Прайс!#REF!,0))))),0)+IF($G4="Гладкий",0,IF(AND(OR($V4="Перли",$V4="Металік",$V4="Перл.зол.",$V4="Перл.ср.",$V4="Перл.зол.",$V4="Зор.н.ср.",$V4="Зор.н.зол.",$V4="Зор.н.різн.",$V4="Гума"),OR($F4=4,$F4=6,$F4=8,$F4=10,$F4=16),$H4=1),Просчет!$AI4*Прайс!$D$76,IF(AND(OR($V4="",$V4=0),$X4="Матове",OR($F4=4,$F4=6,$F4=8,$F4=10,$F4=16),$H4=1),Просчет!$AI4*Прайс!$D$73,IF(AND(OR($V4="",$V4=0),$X4="Глянець",OR($F4=4,$F4=6,$F4=8,$F4=10,$F4=16),$H4=1),Просчет!$AI4*Прайс!$D$75,IF(AND(OR($V4="",$V4=0),$G4="Софт(TS)",OR($F4=4,$F4=6,$F4=8,$F4=10,$F4=16),$H4=1),$AI4*Прайс!$D$74,IF(AND(OR($V4="",$V4=0),$X4="Матове покриття з патиною",OR($F4=4,$F4=6,$F4=8,$F4=10,$F4=16),$H4=1),$AI4*Прайс!$D$77,IF(AND(OR($V4="",$V4=0),$X4="Глянцеве покриття з патиною",OR($F4=4,$F4=6,$F4=8,$F4=10,$F4=16),$H4=1),$AI4*Прайс!$D$78,IF(AND(OR($V4="",$V4=0),$X4="Матовий DECAPE",OR($F4=4,$F4=6,$F4=8,$F4=10,$F4=16),$H4=1),$AI4*Прайс!$D$79,IF(AND(OR($V4="",$V4=0),$X4="Глянцевий DECAPE",OR($F4=4,$F4=6,$F4=8,$F4=10,$F4=16),$H4=1),$AI4*Прайс!$D$80,0)))))))))+IF($G4="Гладкий",0,IF(AND(OR($V4="Перли",$V4="Металік",$V4="Перл.зол.",$V4="Перл.ср.",$V4="Перл.зол.",$V4="Зор.н.ср.",$V4="Зор.н.зол.",$V4="Зор.н.різн.",$V4="Гума"),OR($F4=4,$F4=6,$F4=8,$F4=10,$F4=16),$H4=2),$AI4*Прайс!$E$76,IF(AND(OR($V4="",$V4=0),$X4="Матове",OR($F4=4,$F4=6,$F4=8,$F4=10,$F4=16),$H4=2),Просчет!$AI4*Прайс!$E$73,IF(AND(OR($V4="",$V4=0),$X4="Глянець",OR($F4=4,$F4=6,$F4=8,$F4=10,$F4=16),$H4=2),$AI4*Прайс!$E$75,IF(AND(OR($V4="",$V4=0),$X4="Софт(TS)",OR($F4=4,$F4=6,$F4=8,$F4=10,$F4=16),$H4=2),$AI4*Прайс!$E$74,IF(AND(OR($V4="",$V4=0),$X4="Матове покриття з патиною",OR($F4=4,$F4=6,$F4=8,$F4=10,$F4=16),$H4=2),$AI4*Прайс!$E$77,IF(AND(OR($V4="",$V4=0),$X4="Глянцеве покриття з патиною",OR($F4=4,$F4=6,$F4=8,$F4=10,$F4=16),$H4=2),$AI4*Прайс!$E$78,IF(AND(OR($V4="",$V4=0),$X4="Матовий DECAPE",OR($F4=4,$F4=6,$F4=8,$F4=10,$F4=16),$H4=2),$AI4*Прайс!$E$79,IF(AND(OR($V4="",$V4=0),$X4="Глянцевий DECAPE",OR($F4=4,$F4=6,$F4=8,$F4=10,$F4=16),$H4=2),$AI4*Прайс!$E$80,0)))))))))+IF(AND($S4=1,OR($H4=1,$H4=0),$X4=Наименование!$L$12,OR($F4=4,$F4=6,$F4=8,$F4=10,$F4=16)),$AI4*Прайс!$D$89,IF(AND($S4=1,OR($H4=1,$H4=0),$X4=Наименование!$L$13,OR($F4=4,$F4=6,$F4=8,$F4=10,$F4=16)),$AI4*Прайс!$D$90,IF(AND($S4=1,OR($H4=1,$H4=0),$X4=Наименование!$L14,OR($F4=4,$F4=6,$F4=8,$F4=10,$F4=16)),$AI4*Прайс!$D$91,IF(AND($S4=1,OR($H4=1,$H4=0),$X4=Наименование!$L$15,OR($F4=4,$F4=6,$F4=8,$F4=10,$F4=16)),$AI4*Прайс!$D$92,0))))+IF(AND($S4=1,$H4=2,$X4=Наименование!$L$12,OR($F4=4,$F4=6,$F4=8,$F4=10,$F4=16)),$AI4*Прайс!$E$89,IF(AND($S4=1,$H4=2,$X4=Наименование!$L$13,OR($F4=4,$F4=6,$F4=8,$F4=10,$F4=16)),$AI4*Прайс!$E$90,IF(AND($S4=1,$H4=2,$X4=Наименование!$L$14,OR($F4=4,$F4=6,$F4=8,$F4=10,$F4=16)),$AI4*Прайс!$E$91,IF(AND($S4=1,$H4=2,$X4=Наименование!$L$15,OR($F4=4,$F4=6,$F4=8,$F4=10,$F4=16)),$AI4*Прайс!$E$92))))</f>
        <v>0</v>
      </c>
      <c r="AA4" s="195">
        <f>IF($G4="Гладкий",IF(OR($C4=0,$C4=""),0,IF(AND(OR($V4="Перли",$V4="Металік",$V4="Перл.зол.",$V4="Перл.ср.",$V4="Перл.зол.",$V4="Зор.н.ср.",$V4="Зор.н.зол.",$V4="Зор.н.різн.",$V4="Гума"),$F4=19),$AI4*Прайс!$E$12,IF(AND(OR($V4="",$V4=0),$X4="Матове",$F4=19),$AI4*Прайс!$E$10,IF(AND(OR($V4="",$V4=0),$X4="Глянець",$F4=19),$AI4*Прайс!$E$11,IF(AND(OR($V4="",$V4=0),$X4="Софт(TS)",$F4=19),$AI4*Прайс!#REF!,0))))),0)+IF($G4="Гладкий",0,IF(AND(OR($V4="Перли",$V4="Металік",$V4="Перл.зол.",$V4="Перл.ср.",$V4="Перл.зол.",$V4="Зор.н.ср.",$V4="Зор.н.зол.",$V4="Зор.н.різн.",$V4="Гума"),$F4=19,$H4=1),Просчет!$AI4*Прайс!$F$76,IF(AND(OR($V4="",$V4=0),$X4="Матове",$F4=19,$H4=1),Просчет!$AI4*Прайс!$F$73,IF(AND(OR($V4="",$V4=0),$X4="Глянець",$F4=19,$H4=1),Просчет!$AI4*Прайс!$F$75,IF(AND(OR($V4="",$V4=0),$G4="Софт(TS)",$F4=19,$H4=1),$AI4*Прайс!$F$74,IF(AND(OR($V4="",$V4=0),$X4="Матове покриття з патиною",$F4=19,$H4=1),$AI4*Прайс!$F$77,IF(AND(OR($V4="",$V4=0),$X4="Глянцеве покриття з патиною",$F4=19,$H4=1),$AI4*Прайс!$F$78,IF(AND(OR($V4="",$V4=0),$X4="Матовий DECAPE",$F4=19,$H4=1),$AI4*Прайс!$F$79,IF(AND(OR($V4="",$V4=0),$X4="Глянцевий DECAPE",$F4=19,$H4=1),$AI4*Прайс!$F$80,0)))))))))+IF($G4="Гладкий",0,IF(AND(OR($V4="Перли",$V4="Металік",$V4="Перл.зол.",$V4="Перл.ср.",$V4="Перл.зол.",$V4="Зор.н.ср.",$V4="Зор.н.зол.",$V4="Зор.н.різн.",$V4="Гума"),$F4=19,$H4=2),$AI4*Прайс!$G$76,IF(AND(OR($V4="",$V4=0),$X4="Матове",$F4=19,$H4=2),Просчет!$AI4*Прайс!$G$73,IF(AND(OR($V4="",$V4=0),$X4="Глянець",$F4=19,$H4=2),$AI4*Прайс!$G$75,IF(AND(OR($V4="",$V4=0),$X4="Софт(TS)",$F4=19,$H4=2),$AI4*Прайс!$G$74,IF(AND(OR($V4="",$V4=0),$X4="Матове покриття з патиною",$F4=19,$H4=2),$AI4*Прайс!$G$77,IF(AND(OR($V4="",$V4=0),$X4="Глянцеве покриття з патиною",$F4=19,$H4=2),$AI4*Прайс!$G$78,IF(AND(OR($V4="",$V4=0),$X4="Матовий DECAPE",$F4=19,$H4=2),$AI4*Прайс!$G$79,IF(AND(OR($V4="",$V4=0),$X4="Глянцевий DECAPE",$F4=19,$H4=2),$AI4*Прайс!$G$78,0)))))))))+IF(AND($S4=1,OR($H4=1,$H4=0),$X4=Наименование!$L$12,$F4=19),$AI4*Прайс!$F$89,IF(AND($S4=1,OR($H4=1,$H4=0),$X4=Наименование!$L$13,$F4=19),$AI4*Прайс!$F$90,IF(AND($S4=1,OR($H4=1,$H4=0),$X4=Наименование!$L14,$F4=19),$AI4*Прайс!$F$91,IF(AND($S4=1,OR($H4=1,$H4=0),$X4=Наименование!$L$15,$F4=19),$AI4*Прайс!$F$92,0))))+IF(AND($S4=1,$H4=2,$X4=Наименование!$L$12,$F4=19),$AI4*Прайс!$G$89,IF(AND($S4=1,$H4=2,$X4=Наименование!$L$13,$F4=19),$AI4*Прайс!$G$90,IF(AND($S4=1,$H4=2,$X4=Наименование!$L$14,$F4=19),$AI4*Прайс!$G$91,IF(AND($S4=1,$H4=2,$X4=Наименование!$L$15,$F4=19),$AI4*Прайс!$G$92))))</f>
        <v>0</v>
      </c>
      <c r="AB4" s="195">
        <f>IF($G4="Гладкий",IF(OR($C4=0,$C4=""),0,IF($Y4="Матове",$AI4*(Прайс!$D$10-500),IF($Y4="Глянець",$AI4*(Прайс!$D$11-500),IF($Y4="Софт(TS)",$AI4*(Прайс!#REF!-500),0)))),0)+IF($G4="Гладкий",0,IF(AND($Y4="Матове",$H4=1),$AI4*Прайс!$D$73*0.5,IF(AND($Y4="Глянець",$H4=1),$AI4*Прайс!$D$75*0.5,IF(AND($Y4="Софт(TS)",$H4=1),$AI4*Прайс!$D$74*0.5,IF(AND($Y4="Матове покриття з патиною",$H4=1),$AI4*Прайс!$D$77*0.5,IF(AND($Y4="Глянцеве покриття з патиною",$H4=1),$AI4*Прайс!$D$78*0.5,IF(AND($Y4="Матовий DECAPE",$H4=1),$AI4*Прайс!$D$79*0.5,IF(AND($Y4="Глянцевий DECAPE",$H4=1),$AI4*Прайс!$D$80*0.5,0))))))))+IF($G4="Гладкий",0,IF(AND($Y4="Матове",$H4=2),$AI4*Прайс!$E$73*0.5,IF(AND($Y4="Глянець",$H4=2),$AI4*Прайс!$E$75*0.5,IF(AND($Y4="Софт(TS)",$H4=2),$AI4*Прайс!$E$74*0.5,IF(AND($Y4="Матове покриття з патиною",$H4=2),$AI4*Прайс!$E$77*0.5,IF(AND($Y4="Глянцеве покриття з патиною",$H4=2),$AI4*Прайс!$E$78*0.5,IF(AND($Y4="Матовий DECAPE",$H4=2),$AI4*Прайс!$E$79*0.5,IF(AND($Y4="Глянцевий DECAPE",$H4=2),$AI4*Прайс!$E$80*0.5,0)))))))+IF(AND($S4=1,OR($H4=1,$H4=0),$Y4=Прайс!$C$89),$AI4*[1]Прайс!$D$74*0.5,IF(AND($S4=1,OR($H4=1,$H4=0),$Y4=Прайс!$C$90),$AI4*Прайс!$D$90*0.5,IF(AND($S4=1,OR($H4=1,$H4=0),$Y4=Прайс!$C$91),$AI4*Прайс!$D$91*0.5,IF(AND($S4=1,OR($H4=1,$H4=0),$Y4=Прайс!$C$92),$AI4*Прайс!$D$92*0.5,0))))+IF(AND($S4=1,$H4=2,$Y4=Прайс!$C$89),$AI4*Прайс!$E$89*0.5,IF(AND($S4=1,$H4=2,$Y4=Прайс!$C$90),$AI4*Прайс!$E$90*0.5,IF(AND($S4=1,$H4=2,$Y4=Прайс!$C$91),$AI4*Прайс!$E$91*0.5,IF(AND($S4=1,$H4=2,$Y4=Прайс!$C$92),$AI4*Прайс!$E$92*0.5,0)))))</f>
        <v>0</v>
      </c>
      <c r="AC4" s="197" t="str">
        <f>IF(Бланк!AD21="","",Бланк!AD21*E4)</f>
        <v/>
      </c>
      <c r="AD4" s="195">
        <f>IF(OR($AC4=0,$AC4=""),0,$AC4*Прайс!$D$111)</f>
        <v>0</v>
      </c>
      <c r="AE4" s="197" t="str">
        <f>IF(Бланк!AE21="","",Бланк!AE21)</f>
        <v/>
      </c>
      <c r="AF4" s="197" t="str">
        <f>IF(Бланк!AF21="","",Бланк!AF21)</f>
        <v/>
      </c>
      <c r="AG4" s="197" t="str">
        <f>IF(Бланк!AG21="","",Бланк!AG21)</f>
        <v/>
      </c>
      <c r="AH4" s="197" t="str">
        <f>IF(Бланк!AH21="","",Бланк!AH21)</f>
        <v/>
      </c>
      <c r="AI4" s="139">
        <f>IF(Бланк!$AI21="","",Бланк!$AI21)</f>
        <v>0</v>
      </c>
      <c r="AJ4" s="198"/>
      <c r="AK4" s="198"/>
      <c r="AL4" s="198"/>
      <c r="AM4" s="199"/>
      <c r="AN4" s="199"/>
      <c r="AO4" s="199"/>
      <c r="AP4" s="199"/>
      <c r="AQ4" s="200"/>
      <c r="AS4" s="163"/>
    </row>
    <row r="5" spans="1:45" s="190" customFormat="1" ht="21" customHeight="1" x14ac:dyDescent="0.2">
      <c r="B5" s="201">
        <v>2</v>
      </c>
      <c r="C5" s="192" t="str">
        <f>IF(Бланк!$C22="","",Бланк!$C22/1000)</f>
        <v/>
      </c>
      <c r="D5" s="192" t="str">
        <f>IF(Бланк!$D22="","",Бланк!$D22/1000)</f>
        <v/>
      </c>
      <c r="E5" s="192" t="str">
        <f>IF(Бланк!$E22="","",Бланк!$E22)</f>
        <v/>
      </c>
      <c r="F5" s="192" t="str">
        <f>IF(Бланк!$F22="","",Бланк!$F22)</f>
        <v/>
      </c>
      <c r="G5" s="192" t="str">
        <f>IF(Бланк!$G22="","",Бланк!$G22)</f>
        <v/>
      </c>
      <c r="H5" s="193" t="str">
        <f>IF($G5="","",VLOOKUP($G5,Наименование!$M$42:$N$95,2,FALSE))</f>
        <v/>
      </c>
      <c r="I5" s="192" t="str">
        <f>IF(Бланк!$H22="","",Бланк!$H22)</f>
        <v/>
      </c>
      <c r="J5" s="192" t="str">
        <f>IF(Бланк!$I22="","",Бланк!$I22)</f>
        <v/>
      </c>
      <c r="K5" s="194" t="str">
        <f>IF(OR($J5="",$J5=0),"",IF($J5="Пряма з чвертю",(Прайс!$D$106+Прайс!$D$109)*Просчет!$E5,IF($J5="Пряма без чверті",Прайс!$D$106*Просчет!$E5,IF(AND($J5="Шпрос з чвертю",OR($C5&lt;1,$C5=1)),(Прайс!$D$37+Прайс!$D$40)*Просчет!$E5,IF(AND($J5="Шпрос з чвертю",$C5&gt;1),(Прайс!$F$37+Прайс!$D$40)*Просчет!$E5,IF(AND($J5="Шпрос без чверті",OR($C5&lt;1,$C5=1)),Прайс!$D$37*Просчет!$E5,IF(AND($J5="Шпрос без чверті",$C5&gt;1),Прайс!$F$37*Просчет!$E5,"")))))))</f>
        <v/>
      </c>
      <c r="L5" s="192" t="str">
        <f>IF(Бланк!$J22="","",Бланк!$J22/1000)</f>
        <v/>
      </c>
      <c r="M5" s="192" t="str">
        <f>IF(Бланк!$K22="","",Бланк!$K22)</f>
        <v/>
      </c>
      <c r="N5" s="195">
        <f t="shared" ref="N5:N48" si="0">IF($G5="гладкий",IF($M5="","",IF(OR($M5="J № 1",$M5="J № 2",$M5="J № 2L",$M5="J № 2R",$M5="AJ № 2",$M5="AJ № 2L",$M5="AJ № 2R",$M5="U",$M5="V"),$L5*$E5,IF(OR($M5="J № 3L",$M5="J № 3R",$M5="J № 4L",$M5="J № 4R",$M5="J № 5L",$M5="J № 5R"),$L5/2*$E5,IF($M5="45 град.",$L5*$E5,0)))),0)</f>
        <v>0</v>
      </c>
      <c r="O5" s="194">
        <f>IF($G5="гладкий",IF($M5="","",IF(OR($M5="J № 1",$M5="J № 2",$M5="J № 2L",$M5="J № 2R",$M5="AJ № 2",$M5="AJ № 2L",$M5="AJ № 2R",$M5="U",$M5="V"),$N5*Прайс!$D$43,IF(OR($M5="AJ № 3R",$M5="AJ № 4R",$M5="AJ № 5R",$M5="AJ № 3L",$M5="AJ № 4L",$M5="AJ № 5L",$M5="AJ № 3",$M5="AJ № 4",$M5="AJ № 5",$M5="J № 3",$M5="J № 4",$M5="J № 5",$M5="J № 6",$M5="J № 7",$M5="L",$M5="AL"),Прайс!$D$43*$E5,IF(OR($M5="J № 3L",$M5="J № 3R",$M5="J № 4L",$M5="J № 4R",$M5="J № 5L",$M5="J № 5R"),$N5/2*Прайс!$D$47*$E5,IF($M5="45 град.",$N5*Прайс!$D$42,0))))),0)</f>
        <v>0</v>
      </c>
      <c r="P5" s="192" t="str">
        <f>IF(Бланк!$L22="","",Бланк!$L22)</f>
        <v/>
      </c>
      <c r="Q5" s="192" t="str">
        <f>IF(Бланк!$M22="","",Бланк!$M22)</f>
        <v/>
      </c>
      <c r="R5" s="194">
        <f>IF($P5="",0,IF($Q5=$U5,0,IF($Q5="",0,IF(OR($G5=35,$G5=36,$G5=37,$G5=38),Прайс!$D$118*Бланк!E22,IF(AND($G5="гладкий",OR($M5="J № 1",$M5="J № 2",$M5="J № 2L",$M5="J № 2R")),$N5*Прайс!$D$59,0)))))</f>
        <v>0</v>
      </c>
      <c r="S5" s="192" t="str">
        <f>IF(OR(Бланк!$O22=0,Бланк!$O22=""),"",1)</f>
        <v/>
      </c>
      <c r="T5" s="192" t="str">
        <f>IF(Бланк!$R22="","",Бланк!$R22)</f>
        <v/>
      </c>
      <c r="U5" s="192" t="str">
        <f>IF(Бланк!$S22="","",Бланк!$S22)</f>
        <v/>
      </c>
      <c r="V5" s="192" t="str">
        <f>IF(Бланк!$T22="","",Бланк!$T22)</f>
        <v/>
      </c>
      <c r="W5" s="196" t="str">
        <f>IF(Бланк!$W22="","",Бланк!$W22)</f>
        <v/>
      </c>
      <c r="X5" s="197" t="str">
        <f>IF(Бланк!AB22="","",Бланк!AB22)</f>
        <v/>
      </c>
      <c r="Y5" s="197" t="str">
        <f>IF(Бланк!AC22="","",Бланк!AC22)</f>
        <v/>
      </c>
      <c r="Z5" s="195">
        <f>IF($G5="Гладкий",IF(OR($C5=0,$C5=""),0,IF(AND(OR($V5="Перли",$V5="Металік",$V5="Перл.зол.",$V5="Перл.ср.",$V5="Перл.зол.",$V5="Зор.н.ср.",$V5="Зор.н.зол.",$V5="Зор.н.різн.",$V5="Гума"),OR($F5=4,$F5=6,$F5=8,$F5=10,$F5=16)),$AI5*Прайс!$D$12,IF(AND(OR($V5="",$V5=0),$X5="Матове",OR($F5=4,$F5=6,$F5=8,$F5=10,$F5=16)),$AI5*Прайс!$D$10,IF(AND(OR($V5="",$V5=0),$X5="Глянець",OR($F5=4,$F5=6,$F5=8,$F5=10,$F5=16)),$AI5*Прайс!$D$11,IF(AND(OR($V5="",$V5=0),$X5="Софт(TS)",OR($F5=4,$F5=6,$F5=8,$F5=10,$F5=16)),$AI5*Прайс!#REF!,0))))),0)+IF($G5="Гладкий",0,IF(AND(OR($V5="Перли",$V5="Металік",$V5="Перл.зол.",$V5="Перл.ср.",$V5="Перл.зол.",$V5="Зор.н.ср.",$V5="Зор.н.зол.",$V5="Зор.н.різн.",$V5="Гума"),OR($F5=4,$F5=6,$F5=8,$F5=10,$F5=16),$H5=1),Просчет!$AI5*Прайс!$D$76,IF(AND(OR($V5="",$V5=0),$X5="Матове",OR($F5=4,$F5=6,$F5=8,$F5=10,$F5=16),$H5=1),Просчет!$AI5*Прайс!$D$73,IF(AND(OR($V5="",$V5=0),$X5="Глянець",OR($F5=4,$F5=6,$F5=8,$F5=10,$F5=16),$H5=1),Просчет!$AI5*Прайс!$D$75,IF(AND(OR($V5="",$V5=0),$G5="Софт(TS)",OR($F5=4,$F5=6,$F5=8,$F5=10,$F5=16),$H5=1),$AI5*Прайс!$D$74,IF(AND(OR($V5="",$V5=0),$X5="Матове покриття з патиною",OR($F5=4,$F5=6,$F5=8,$F5=10,$F5=16),$H5=1),$AI5*Прайс!$D$77,IF(AND(OR($V5="",$V5=0),$X5="Глянцеве покриття з патиною",OR($F5=4,$F5=6,$F5=8,$F5=10,$F5=16),$H5=1),$AI5*Прайс!$D$78,IF(AND(OR($V5="",$V5=0),$X5="Матовий DECAPE",OR($F5=4,$F5=6,$F5=8,$F5=10,$F5=16),$H5=1),$AI5*Прайс!$D$79,IF(AND(OR($V5="",$V5=0),$X5="Глянцевий DECAPE",OR($F5=4,$F5=6,$F5=8,$F5=10,$F5=16),$H5=1),$AI5*Прайс!$D$80,0)))))))))+IF($G5="Гладкий",0,IF(AND(OR($V5="Перли",$V5="Металік",$V5="Перл.зол.",$V5="Перл.ср.",$V5="Перл.зол.",$V5="Зор.н.ср.",$V5="Зор.н.зол.",$V5="Зор.н.різн.",$V5="Гума"),OR($F5=4,$F5=6,$F5=8,$F5=10,$F5=16),$H5=2),$AI5*Прайс!$E$76,IF(AND(OR($V5="",$V5=0),$X5="Матове",OR($F5=4,$F5=6,$F5=8,$F5=10,$F5=16),$H5=2),Просчет!$AI5*Прайс!$E$73,IF(AND(OR($V5="",$V5=0),$X5="Глянець",OR($F5=4,$F5=6,$F5=8,$F5=10,$F5=16),$H5=2),$AI5*Прайс!$E$75,IF(AND(OR($V5="",$V5=0),$X5="Софт(TS)",OR($F5=4,$F5=6,$F5=8,$F5=10,$F5=16),$H5=2),$AI5*Прайс!$E$74,IF(AND(OR($V5="",$V5=0),$X5="Матове покриття з патиною",OR($F5=4,$F5=6,$F5=8,$F5=10,$F5=16),$H5=2),$AI5*Прайс!$E$77,IF(AND(OR($V5="",$V5=0),$X5="Глянцеве покриття з патиною",OR($F5=4,$F5=6,$F5=8,$F5=10,$F5=16),$H5=2),$AI5*Прайс!$E$78,IF(AND(OR($V5="",$V5=0),$X5="Матовий DECAPE",OR($F5=4,$F5=6,$F5=8,$F5=10,$F5=16),$H5=2),$AI5*Прайс!$E$79,IF(AND(OR($V5="",$V5=0),$X5="Глянцевий DECAPE",OR($F5=4,$F5=6,$F5=8,$F5=10,$F5=16),$H5=2),$AI5*Прайс!$E$80,0)))))))))+IF(AND($S5=1,OR($H5=1,$H5=0),$X5=Наименование!$L$12,OR($F5=4,$F5=6,$F5=8,$F5=10,$F5=16)),$AI5*Прайс!$D$89,IF(AND($S5=1,OR($H5=1,$H5=0),$X5=Наименование!$L$13,OR($F5=4,$F5=6,$F5=8,$F5=10,$F5=16)),$AI5*Прайс!$D$90,IF(AND($S5=1,OR($H5=1,$H5=0),$X5=Наименование!$L15,OR($F5=4,$F5=6,$F5=8,$F5=10,$F5=16)),$AI5*Прайс!$D$91,IF(AND($S5=1,OR($H5=1,$H5=0),$X5=Наименование!$L$15,OR($F5=4,$F5=6,$F5=8,$F5=10,$F5=16)),$AI5*Прайс!$D$92,0))))+IF(AND($S5=1,$H5=2,$X5=Наименование!$L$12,OR($F5=4,$F5=6,$F5=8,$F5=10,$F5=16)),$AI5*Прайс!$E$89,IF(AND($S5=1,$H5=2,$X5=Наименование!$L$13,OR($F5=4,$F5=6,$F5=8,$F5=10,$F5=16)),$AI5*Прайс!$E$90,IF(AND($S5=1,$H5=2,$X5=Наименование!$L$14,OR($F5=4,$F5=6,$F5=8,$F5=10,$F5=16)),$AI5*Прайс!$E$91,IF(AND($S5=1,$H5=2,$X5=Наименование!$L$15,OR($F5=4,$F5=6,$F5=8,$F5=10,$F5=16)),$AI5*Прайс!$E$92))))</f>
        <v>0</v>
      </c>
      <c r="AA5" s="195">
        <f>IF($G5="Гладкий",IF(OR($C5=0,$C5=""),0,IF(AND(OR($V5="Перли",$V5="Металік",$V5="Перл.зол.",$V5="Перл.ср.",$V5="Перл.зол.",$V5="Зор.н.ср.",$V5="Зор.н.зол.",$V5="Зор.н.різн.",$V5="Гума"),$F5=19),$AI5*Прайс!$E$12,IF(AND(OR($V5="",$V5=0),$X5="Матове",$F5=19),$AI5*Прайс!$E$10,IF(AND(OR($V5="",$V5=0),$X5="Глянець",$F5=19),$AI5*Прайс!$E$11,IF(AND(OR($V5="",$V5=0),$X5="Софт(TS)",$F5=19),$AI5*Прайс!#REF!,0))))),0)+IF($G5="Гладкий",0,IF(AND(OR($V5="Перли",$V5="Металік",$V5="Перл.зол.",$V5="Перл.ср.",$V5="Перл.зол.",$V5="Зор.н.ср.",$V5="Зор.н.зол.",$V5="Зор.н.різн.",$V5="Гума"),$F5=19,$H5=1),Просчет!$AI5*Прайс!$F$76,IF(AND(OR($V5="",$V5=0),$X5="Матове",$F5=19,$H5=1),Просчет!$AI5*Прайс!$F$73,IF(AND(OR($V5="",$V5=0),$X5="Глянець",$F5=19,$H5=1),Просчет!$AI5*Прайс!$F$75,IF(AND(OR($V5="",$V5=0),$G5="Софт(TS)",$F5=19,$H5=1),$AI5*Прайс!$F$74,IF(AND(OR($V5="",$V5=0),$X5="Матове покриття з патиною",$F5=19,$H5=1),$AI5*Прайс!$F$77,IF(AND(OR($V5="",$V5=0),$X5="Глянцеве покриття з патиною",$F5=19,$H5=1),$AI5*Прайс!$F$78,IF(AND(OR($V5="",$V5=0),$X5="Матовий DECAPE",$F5=19,$H5=1),$AI5*Прайс!$F$79,IF(AND(OR($V5="",$V5=0),$X5="Глянцевий DECAPE",$F5=19,$H5=1),$AI5*Прайс!$F$80,0)))))))))+IF($G5="Гладкий",0,IF(AND(OR($V5="Перли",$V5="Металік",$V5="Перл.зол.",$V5="Перл.ср.",$V5="Перл.зол.",$V5="Зор.н.ср.",$V5="Зор.н.зол.",$V5="Зор.н.різн.",$V5="Гума"),$F5=19,$H5=2),$AI5*Прайс!$G$76,IF(AND(OR($V5="",$V5=0),$X5="Матове",$F5=19,$H5=2),Просчет!$AI5*Прайс!$G$73,IF(AND(OR($V5="",$V5=0),$X5="Глянець",$F5=19,$H5=2),$AI5*Прайс!$G$75,IF(AND(OR($V5="",$V5=0),$X5="Софт(TS)",$F5=19,$H5=2),$AI5*Прайс!$G$74,IF(AND(OR($V5="",$V5=0),$X5="Матове покриття з патиною",$F5=19,$H5=2),$AI5*Прайс!$G$77,IF(AND(OR($V5="",$V5=0),$X5="Глянцеве покриття з патиною",$F5=19,$H5=2),$AI5*Прайс!$G$78,IF(AND(OR($V5="",$V5=0),$X5="Матовий DECAPE",$F5=19,$H5=2),$AI5*Прайс!$G$79,IF(AND(OR($V5="",$V5=0),$X5="Глянцевий DECAPE",$F5=19,$H5=2),$AI5*Прайс!$G$78,0)))))))))+IF(AND($S5=1,OR($H5=1,$H5=0),$X5=Наименование!$L$12,$F5=19),$AI5*Прайс!$F$89,IF(AND($S5=1,OR($H5=1,$H5=0),$X5=Наименование!$L$13,$F5=19),$AI5*Прайс!$F$90,IF(AND($S5=1,OR($H5=1,$H5=0),$X5=Наименование!$L15,$F5=19),$AI5*Прайс!$F$91,IF(AND($S5=1,OR($H5=1,$H5=0),$X5=Наименование!$L$15,$F5=19),$AI5*Прайс!$F$92,0))))+IF(AND($S5=1,$H5=2,$X5=Наименование!$L$12,$F5=19),$AI5*Прайс!$G$89,IF(AND($S5=1,$H5=2,$X5=Наименование!$L$13,$F5=19),$AI5*Прайс!$G$90,IF(AND($S5=1,$H5=2,$X5=Наименование!$L$14,$F5=19),$AI5*Прайс!$G$91,IF(AND($S5=1,$H5=2,$X5=Наименование!$L$15,$F5=19),$AI5*Прайс!$G$92))))</f>
        <v>0</v>
      </c>
      <c r="AB5" s="195">
        <f>IF($G5="Гладкий",IF(OR($C5=0,$C5=""),0,IF($Y5="Матове",$AI5*(Прайс!$D$10-500),IF($Y5="Глянець",$AI5*(Прайс!$D$11-500),IF($Y5="Софт(TS)",$AI5*(Прайс!#REF!-500),0)))),0)+IF($G5="Гладкий",0,IF(AND($Y5="Матове",$H5=1),$AI5*Прайс!$D$73*0.5,IF(AND($Y5="Глянець",$H5=1),$AI5*Прайс!$D$75*0.5,IF(AND($Y5="Софт(TS)",$H5=1),$AI5*Прайс!$D$74*0.5,IF(AND($Y5="Матове покриття з патиною",$H5=1),$AI5*Прайс!$D$77*0.5,IF(AND($Y5="Глянцеве покриття з патиною",$H5=1),$AI5*Прайс!$D$78*0.5,IF(AND($Y5="Матовий DECAPE",$H5=1),$AI5*Прайс!$D$79*0.5,IF(AND($Y5="Глянцевий DECAPE",$H5=1),$AI5*Прайс!$D$80*0.5,0))))))))+IF($G5="Гладкий",0,IF(AND($Y5="Матове",$H5=2),$AI5*Прайс!$E$73*0.5,IF(AND($Y5="Глянець",$H5=2),$AI5*Прайс!$E$75*0.5,IF(AND($Y5="Софт(TS)",$H5=2),$AI5*Прайс!$E$74*0.5,IF(AND($Y5="Матове покриття з патиною",$H5=2),$AI5*Прайс!$E$77*0.5,IF(AND($Y5="Глянцеве покриття з патиною",$H5=2),$AI5*Прайс!$E$78*0.5,IF(AND($Y5="Матовий DECAPE",$H5=2),$AI5*Прайс!$E$79*0.5,IF(AND($Y5="Глянцевий DECAPE",$H5=2),$AI5*Прайс!$E$80*0.5,0)))))))+IF(AND($S5=1,OR($H5=1,$H5=0),$Y5=Прайс!$C$89),$AI5*[1]Прайс!$D$74*0.5,IF(AND($S5=1,OR($H5=1,$H5=0),$Y5=Прайс!$C$90),$AI5*Прайс!$D$90*0.5,IF(AND($S5=1,OR($H5=1,$H5=0),$Y5=Прайс!$C$91),$AI5*Прайс!$D$91*0.5,IF(AND($S5=1,OR($H5=1,$H5=0),$Y5=Прайс!$C$92),$AI5*Прайс!$D$92*0.5,0))))+IF(AND($S5=1,$H5=2,$Y5=Прайс!$C$89),$AI5*Прайс!$E$89*0.5,IF(AND($S5=1,$H5=2,$Y5=Прайс!$C$90),$AI5*Прайс!$E$90*0.5,IF(AND($S5=1,$H5=2,$Y5=Прайс!$C$91),$AI5*Прайс!$E$91*0.5,IF(AND($S5=1,$H5=2,$Y5=Прайс!$C$92),$AI5*Прайс!$E$92*0.5,0)))))</f>
        <v>0</v>
      </c>
      <c r="AC5" s="197" t="str">
        <f>IF(Бланк!AD22="","",Бланк!AD22*E5)</f>
        <v/>
      </c>
      <c r="AD5" s="195">
        <f>IF(OR($AC5=0,$AC5=""),0,$AC5*Прайс!$D$111)</f>
        <v>0</v>
      </c>
      <c r="AE5" s="197" t="str">
        <f>IF(Бланк!AE22="","",Бланк!AE22)</f>
        <v/>
      </c>
      <c r="AF5" s="197" t="str">
        <f>IF(Бланк!AF22="","",Бланк!AF22)</f>
        <v/>
      </c>
      <c r="AG5" s="197" t="str">
        <f>IF(Бланк!AG22="","",Бланк!AG22)</f>
        <v/>
      </c>
      <c r="AH5" s="197" t="str">
        <f>IF(Бланк!AH22="","",Бланк!AH22)</f>
        <v/>
      </c>
      <c r="AI5" s="139">
        <f>IF(Бланк!$AI22="","",Бланк!$AI22)</f>
        <v>0</v>
      </c>
      <c r="AJ5" s="198"/>
      <c r="AK5" s="198"/>
      <c r="AL5" s="198"/>
      <c r="AM5" s="199"/>
      <c r="AN5" s="199"/>
      <c r="AO5" s="199"/>
      <c r="AP5" s="199"/>
      <c r="AQ5" s="200"/>
    </row>
    <row r="6" spans="1:45" s="190" customFormat="1" ht="21" customHeight="1" x14ac:dyDescent="0.2">
      <c r="B6" s="201">
        <v>3</v>
      </c>
      <c r="C6" s="192" t="str">
        <f>IF(Бланк!$C23="","",Бланк!$C23/1000)</f>
        <v/>
      </c>
      <c r="D6" s="192" t="str">
        <f>IF(Бланк!$D23="","",Бланк!$D23/1000)</f>
        <v/>
      </c>
      <c r="E6" s="192" t="str">
        <f>IF(Бланк!$E23="","",Бланк!$E23)</f>
        <v/>
      </c>
      <c r="F6" s="192" t="str">
        <f>IF(Бланк!$F23="","",Бланк!$F23)</f>
        <v/>
      </c>
      <c r="G6" s="192" t="str">
        <f>IF(Бланк!$G23="","",Бланк!$G23)</f>
        <v/>
      </c>
      <c r="H6" s="193" t="str">
        <f>IF($G6="","",VLOOKUP($G6,Наименование!$M$42:$N$95,2,FALSE))</f>
        <v/>
      </c>
      <c r="I6" s="192" t="str">
        <f>IF(Бланк!$H23="","",Бланк!$H23)</f>
        <v/>
      </c>
      <c r="J6" s="192" t="str">
        <f>IF(Бланк!$I23="","",Бланк!$I23)</f>
        <v/>
      </c>
      <c r="K6" s="194" t="str">
        <f>IF(OR($J6="",$J6=0),"",IF($J6="Пряма з чвертю",(Прайс!$D$106+Прайс!$D$109)*Просчет!$E6,IF($J6="Пряма без чверті",Прайс!$D$106*Просчет!$E6,IF(AND($J6="Шпрос з чвертю",OR($C6&lt;1,$C6=1)),(Прайс!$D$37+Прайс!$D$40)*Просчет!$E6,IF(AND($J6="Шпрос з чвертю",$C6&gt;1),(Прайс!$F$37+Прайс!$D$40)*Просчет!$E6,IF(AND($J6="Шпрос без чверті",OR($C6&lt;1,$C6=1)),Прайс!$D$37*Просчет!$E6,IF(AND($J6="Шпрос без чверті",$C6&gt;1),Прайс!$F$37*Просчет!$E6,"")))))))</f>
        <v/>
      </c>
      <c r="L6" s="192" t="str">
        <f>IF(Бланк!$J23="","",Бланк!$J23/1000)</f>
        <v/>
      </c>
      <c r="M6" s="192" t="str">
        <f>IF(Бланк!$K23="","",Бланк!$K23)</f>
        <v/>
      </c>
      <c r="N6" s="195">
        <f t="shared" si="0"/>
        <v>0</v>
      </c>
      <c r="O6" s="194">
        <f>IF($G6="гладкий",IF($M6="","",IF(OR($M6="J № 1",$M6="J № 2",$M6="J № 2L",$M6="J № 2R",$M6="AJ № 2",$M6="AJ № 2L",$M6="AJ № 2R",$M6="U",$M6="V"),$N6*Прайс!$D$43,IF(OR($M6="AJ № 3R",$M6="AJ № 4R",$M6="AJ № 5R",$M6="AJ № 3L",$M6="AJ № 4L",$M6="AJ № 5L",$M6="AJ № 3",$M6="AJ № 4",$M6="AJ № 5",$M6="J № 3",$M6="J № 4",$M6="J № 5",$M6="J № 6",$M6="J № 7",$M6="L",$M6="AL"),Прайс!$D$43*$E6,IF(OR($M6="J № 3L",$M6="J № 3R",$M6="J № 4L",$M6="J № 4R",$M6="J № 5L",$M6="J № 5R"),$N6/2*Прайс!$D$47*$E6,IF($M6="45 град.",$N6*Прайс!$D$42,0))))),0)</f>
        <v>0</v>
      </c>
      <c r="P6" s="192" t="str">
        <f>IF(Бланк!$L23="","",Бланк!$L23)</f>
        <v/>
      </c>
      <c r="Q6" s="192" t="str">
        <f>IF(Бланк!$M23="","",Бланк!$M23)</f>
        <v/>
      </c>
      <c r="R6" s="194">
        <f>IF($P6="",0,IF($Q6=$U6,0,IF($Q6="",0,IF(OR($G6=35,$G6=36,$G6=37,$G6=38),Прайс!$D$118*Бланк!E23,IF(AND($G6="гладкий",OR($M6="J № 1",$M6="J № 2",$M6="J № 2L",$M6="J № 2R")),$N6*Прайс!$D$59,0)))))</f>
        <v>0</v>
      </c>
      <c r="S6" s="192" t="str">
        <f>IF(OR(Бланк!$O23=0,Бланк!$O23=""),"",1)</f>
        <v/>
      </c>
      <c r="T6" s="192" t="str">
        <f>IF(Бланк!$R23="","",Бланк!$R23)</f>
        <v/>
      </c>
      <c r="U6" s="192" t="str">
        <f>IF(Бланк!$S23="","",Бланк!$S23)</f>
        <v/>
      </c>
      <c r="V6" s="192" t="str">
        <f>IF(Бланк!$T23="","",Бланк!$T23)</f>
        <v/>
      </c>
      <c r="W6" s="196" t="str">
        <f>IF(Бланк!$W23="","",Бланк!$W23)</f>
        <v/>
      </c>
      <c r="X6" s="197" t="str">
        <f>IF(Бланк!AB23="","",Бланк!AB23)</f>
        <v/>
      </c>
      <c r="Y6" s="197" t="str">
        <f>IF(Бланк!AC23="","",Бланк!AC23)</f>
        <v/>
      </c>
      <c r="Z6" s="195">
        <f>IF($G6="Гладкий",IF(OR($C6=0,$C6=""),0,IF(AND(OR($V6="Перли",$V6="Металік",$V6="Перл.зол.",$V6="Перл.ср.",$V6="Перл.зол.",$V6="Зор.н.ср.",$V6="Зор.н.зол.",$V6="Зор.н.різн.",$V6="Гума"),OR($F6=4,$F6=6,$F6=8,$F6=10,$F6=16)),$AI6*Прайс!$D$12,IF(AND(OR($V6="",$V6=0),$X6="Матове",OR($F6=4,$F6=6,$F6=8,$F6=10,$F6=16)),$AI6*Прайс!$D$10,IF(AND(OR($V6="",$V6=0),$X6="Глянець",OR($F6=4,$F6=6,$F6=8,$F6=10,$F6=16)),$AI6*Прайс!$D$11,IF(AND(OR($V6="",$V6=0),$X6="Софт(TS)",OR($F6=4,$F6=6,$F6=8,$F6=10,$F6=16)),$AI6*Прайс!#REF!,0))))),0)+IF($G6="Гладкий",0,IF(AND(OR($V6="Перли",$V6="Металік",$V6="Перл.зол.",$V6="Перл.ср.",$V6="Перл.зол.",$V6="Зор.н.ср.",$V6="Зор.н.зол.",$V6="Зор.н.різн.",$V6="Гума"),OR($F6=4,$F6=6,$F6=8,$F6=10,$F6=16),$H6=1),Просчет!$AI6*Прайс!$D$76,IF(AND(OR($V6="",$V6=0),$X6="Матове",OR($F6=4,$F6=6,$F6=8,$F6=10,$F6=16),$H6=1),Просчет!$AI6*Прайс!$D$73,IF(AND(OR($V6="",$V6=0),$X6="Глянець",OR($F6=4,$F6=6,$F6=8,$F6=10,$F6=16),$H6=1),Просчет!$AI6*Прайс!$D$75,IF(AND(OR($V6="",$V6=0),$G6="Софт(TS)",OR($F6=4,$F6=6,$F6=8,$F6=10,$F6=16),$H6=1),$AI6*Прайс!$D$74,IF(AND(OR($V6="",$V6=0),$X6="Матове покриття з патиною",OR($F6=4,$F6=6,$F6=8,$F6=10,$F6=16),$H6=1),$AI6*Прайс!$D$77,IF(AND(OR($V6="",$V6=0),$X6="Глянцеве покриття з патиною",OR($F6=4,$F6=6,$F6=8,$F6=10,$F6=16),$H6=1),$AI6*Прайс!$D$78,IF(AND(OR($V6="",$V6=0),$X6="Матовий DECAPE",OR($F6=4,$F6=6,$F6=8,$F6=10,$F6=16),$H6=1),$AI6*Прайс!$D$79,IF(AND(OR($V6="",$V6=0),$X6="Глянцевий DECAPE",OR($F6=4,$F6=6,$F6=8,$F6=10,$F6=16),$H6=1),$AI6*Прайс!$D$80,0)))))))))+IF($G6="Гладкий",0,IF(AND(OR($V6="Перли",$V6="Металік",$V6="Перл.зол.",$V6="Перл.ср.",$V6="Перл.зол.",$V6="Зор.н.ср.",$V6="Зор.н.зол.",$V6="Зор.н.різн.",$V6="Гума"),OR($F6=4,$F6=6,$F6=8,$F6=10,$F6=16),$H6=2),$AI6*Прайс!$E$76,IF(AND(OR($V6="",$V6=0),$X6="Матове",OR($F6=4,$F6=6,$F6=8,$F6=10,$F6=16),$H6=2),Просчет!$AI6*Прайс!$E$73,IF(AND(OR($V6="",$V6=0),$X6="Глянець",OR($F6=4,$F6=6,$F6=8,$F6=10,$F6=16),$H6=2),$AI6*Прайс!$E$75,IF(AND(OR($V6="",$V6=0),$X6="Софт(TS)",OR($F6=4,$F6=6,$F6=8,$F6=10,$F6=16),$H6=2),$AI6*Прайс!$E$74,IF(AND(OR($V6="",$V6=0),$X6="Матове покриття з патиною",OR($F6=4,$F6=6,$F6=8,$F6=10,$F6=16),$H6=2),$AI6*Прайс!$E$77,IF(AND(OR($V6="",$V6=0),$X6="Глянцеве покриття з патиною",OR($F6=4,$F6=6,$F6=8,$F6=10,$F6=16),$H6=2),$AI6*Прайс!$E$78,IF(AND(OR($V6="",$V6=0),$X6="Матовий DECAPE",OR($F6=4,$F6=6,$F6=8,$F6=10,$F6=16),$H6=2),$AI6*Прайс!$E$79,IF(AND(OR($V6="",$V6=0),$X6="Глянцевий DECAPE",OR($F6=4,$F6=6,$F6=8,$F6=10,$F6=16),$H6=2),$AI6*Прайс!$E$80,0)))))))))+IF(AND($S6=1,OR($H6=1,$H6=0),$X6=Наименование!$L$12,OR($F6=4,$F6=6,$F6=8,$F6=10,$F6=16)),$AI6*Прайс!$D$89,IF(AND($S6=1,OR($H6=1,$H6=0),$X6=Наименование!$L$13,OR($F6=4,$F6=6,$F6=8,$F6=10,$F6=16)),$AI6*Прайс!$D$90,IF(AND($S6=1,OR($H6=1,$H6=0),$X6=Наименование!$L16,OR($F6=4,$F6=6,$F6=8,$F6=10,$F6=16)),$AI6*Прайс!$D$91,IF(AND($S6=1,OR($H6=1,$H6=0),$X6=Наименование!$L$15,OR($F6=4,$F6=6,$F6=8,$F6=10,$F6=16)),$AI6*Прайс!$D$92,0))))+IF(AND($S6=1,$H6=2,$X6=Наименование!$L$12,OR($F6=4,$F6=6,$F6=8,$F6=10,$F6=16)),$AI6*Прайс!$E$89,IF(AND($S6=1,$H6=2,$X6=Наименование!$L$13,OR($F6=4,$F6=6,$F6=8,$F6=10,$F6=16)),$AI6*Прайс!$E$90,IF(AND($S6=1,$H6=2,$X6=Наименование!$L$14,OR($F6=4,$F6=6,$F6=8,$F6=10,$F6=16)),$AI6*Прайс!$E$91,IF(AND($S6=1,$H6=2,$X6=Наименование!$L$15,OR($F6=4,$F6=6,$F6=8,$F6=10,$F6=16)),$AI6*Прайс!$E$92))))</f>
        <v>0</v>
      </c>
      <c r="AA6" s="195">
        <f>IF($G6="Гладкий",IF(OR($C6=0,$C6=""),0,IF(AND(OR($V6="Перли",$V6="Металік",$V6="Перл.зол.",$V6="Перл.ср.",$V6="Перл.зол.",$V6="Зор.н.ср.",$V6="Зор.н.зол.",$V6="Зор.н.різн.",$V6="Гума"),$F6=19),$AI6*Прайс!$E$12,IF(AND(OR($V6="",$V6=0),$X6="Матове",$F6=19),$AI6*Прайс!$E$10,IF(AND(OR($V6="",$V6=0),$X6="Глянець",$F6=19),$AI6*Прайс!$E$11,IF(AND(OR($V6="",$V6=0),$X6="Софт(TS)",$F6=19),$AI6*Прайс!#REF!,0))))),0)+IF($G6="Гладкий",0,IF(AND(OR($V6="Перли",$V6="Металік",$V6="Перл.зол.",$V6="Перл.ср.",$V6="Перл.зол.",$V6="Зор.н.ср.",$V6="Зор.н.зол.",$V6="Зор.н.різн.",$V6="Гума"),$F6=19,$H6=1),Просчет!$AI6*Прайс!$F$76,IF(AND(OR($V6="",$V6=0),$X6="Матове",$F6=19,$H6=1),Просчет!$AI6*Прайс!$F$73,IF(AND(OR($V6="",$V6=0),$X6="Глянець",$F6=19,$H6=1),Просчет!$AI6*Прайс!$F$75,IF(AND(OR($V6="",$V6=0),$G6="Софт(TS)",$F6=19,$H6=1),$AI6*Прайс!$F$74,IF(AND(OR($V6="",$V6=0),$X6="Матове покриття з патиною",$F6=19,$H6=1),$AI6*Прайс!$F$77,IF(AND(OR($V6="",$V6=0),$X6="Глянцеве покриття з патиною",$F6=19,$H6=1),$AI6*Прайс!$F$78,IF(AND(OR($V6="",$V6=0),$X6="Матовий DECAPE",$F6=19,$H6=1),$AI6*Прайс!$F$79,IF(AND(OR($V6="",$V6=0),$X6="Глянцевий DECAPE",$F6=19,$H6=1),$AI6*Прайс!$F$80,0)))))))))+IF($G6="Гладкий",0,IF(AND(OR($V6="Перли",$V6="Металік",$V6="Перл.зол.",$V6="Перл.ср.",$V6="Перл.зол.",$V6="Зор.н.ср.",$V6="Зор.н.зол.",$V6="Зор.н.різн.",$V6="Гума"),$F6=19,$H6=2),$AI6*Прайс!$G$76,IF(AND(OR($V6="",$V6=0),$X6="Матове",$F6=19,$H6=2),Просчет!$AI6*Прайс!$G$73,IF(AND(OR($V6="",$V6=0),$X6="Глянець",$F6=19,$H6=2),$AI6*Прайс!$G$75,IF(AND(OR($V6="",$V6=0),$X6="Софт(TS)",$F6=19,$H6=2),$AI6*Прайс!$G$74,IF(AND(OR($V6="",$V6=0),$X6="Матове покриття з патиною",$F6=19,$H6=2),$AI6*Прайс!$G$77,IF(AND(OR($V6="",$V6=0),$X6="Глянцеве покриття з патиною",$F6=19,$H6=2),$AI6*Прайс!$G$78,IF(AND(OR($V6="",$V6=0),$X6="Матовий DECAPE",$F6=19,$H6=2),$AI6*Прайс!$G$79,IF(AND(OR($V6="",$V6=0),$X6="Глянцевий DECAPE",$F6=19,$H6=2),$AI6*Прайс!$G$78,0)))))))))+IF(AND($S6=1,OR($H6=1,$H6=0),$X6=Наименование!$L$12,$F6=19),$AI6*Прайс!$F$89,IF(AND($S6=1,OR($H6=1,$H6=0),$X6=Наименование!$L$13,$F6=19),$AI6*Прайс!$F$90,IF(AND($S6=1,OR($H6=1,$H6=0),$X6=Наименование!$L16,$F6=19),$AI6*Прайс!$F$91,IF(AND($S6=1,OR($H6=1,$H6=0),$X6=Наименование!$L$15,$F6=19),$AI6*Прайс!$F$92,0))))+IF(AND($S6=1,$H6=2,$X6=Наименование!$L$12,$F6=19),$AI6*Прайс!$G$89,IF(AND($S6=1,$H6=2,$X6=Наименование!$L$13,$F6=19),$AI6*Прайс!$G$90,IF(AND($S6=1,$H6=2,$X6=Наименование!$L$14,$F6=19),$AI6*Прайс!$G$91,IF(AND($S6=1,$H6=2,$X6=Наименование!$L$15,$F6=19),$AI6*Прайс!$G$92))))</f>
        <v>0</v>
      </c>
      <c r="AB6" s="195">
        <f>IF($G6="Гладкий",IF(OR($C6=0,$C6=""),0,IF($Y6="Матове",$AI6*(Прайс!$D$10-500),IF($Y6="Глянець",$AI6*(Прайс!$D$11-500),IF($Y6="Софт(TS)",$AI6*(Прайс!#REF!-500),0)))),0)+IF($G6="Гладкий",0,IF(AND($Y6="Матове",$H6=1),$AI6*Прайс!$D$73*0.5,IF(AND($Y6="Глянець",$H6=1),$AI6*Прайс!$D$75*0.5,IF(AND($Y6="Софт(TS)",$H6=1),$AI6*Прайс!$D$74*0.5,IF(AND($Y6="Матове покриття з патиною",$H6=1),$AI6*Прайс!$D$77*0.5,IF(AND($Y6="Глянцеве покриття з патиною",$H6=1),$AI6*Прайс!$D$78*0.5,IF(AND($Y6="Матовий DECAPE",$H6=1),$AI6*Прайс!$D$79*0.5,IF(AND($Y6="Глянцевий DECAPE",$H6=1),$AI6*Прайс!$D$80*0.5,0))))))))+IF($G6="Гладкий",0,IF(AND($Y6="Матове",$H6=2),$AI6*Прайс!$E$73*0.5,IF(AND($Y6="Глянець",$H6=2),$AI6*Прайс!$E$75*0.5,IF(AND($Y6="Софт(TS)",$H6=2),$AI6*Прайс!$E$74*0.5,IF(AND($Y6="Матове покриття з патиною",$H6=2),$AI6*Прайс!$E$77*0.5,IF(AND($Y6="Глянцеве покриття з патиною",$H6=2),$AI6*Прайс!$E$78*0.5,IF(AND($Y6="Матовий DECAPE",$H6=2),$AI6*Прайс!$E$79*0.5,IF(AND($Y6="Глянцевий DECAPE",$H6=2),$AI6*Прайс!$E$80*0.5,0)))))))+IF(AND($S6=1,OR($H6=1,$H6=0),$Y6=Прайс!$C$89),$AI6*[1]Прайс!$D$74*0.5,IF(AND($S6=1,OR($H6=1,$H6=0),$Y6=Прайс!$C$90),$AI6*Прайс!$D$90*0.5,IF(AND($S6=1,OR($H6=1,$H6=0),$Y6=Прайс!$C$91),$AI6*Прайс!$D$91*0.5,IF(AND($S6=1,OR($H6=1,$H6=0),$Y6=Прайс!$C$92),$AI6*Прайс!$D$92*0.5,0))))+IF(AND($S6=1,$H6=2,$Y6=Прайс!$C$89),$AI6*Прайс!$E$89*0.5,IF(AND($S6=1,$H6=2,$Y6=Прайс!$C$90),$AI6*Прайс!$E$90*0.5,IF(AND($S6=1,$H6=2,$Y6=Прайс!$C$91),$AI6*Прайс!$E$91*0.5,IF(AND($S6=1,$H6=2,$Y6=Прайс!$C$92),$AI6*Прайс!$E$92*0.5,0)))))</f>
        <v>0</v>
      </c>
      <c r="AC6" s="197" t="str">
        <f>IF(Бланк!AD23="","",Бланк!AD23*E6)</f>
        <v/>
      </c>
      <c r="AD6" s="195">
        <f>IF(OR($AC6=0,$AC6=""),0,$AC6*Прайс!$D$111)</f>
        <v>0</v>
      </c>
      <c r="AE6" s="197" t="str">
        <f>IF(Бланк!AE23="","",Бланк!AE23)</f>
        <v/>
      </c>
      <c r="AF6" s="197" t="str">
        <f>IF(Бланк!AF23="","",Бланк!AF23)</f>
        <v/>
      </c>
      <c r="AG6" s="197" t="str">
        <f>IF(Бланк!AG23="","",Бланк!AG23)</f>
        <v/>
      </c>
      <c r="AH6" s="197" t="str">
        <f>IF(Бланк!AH23="","",Бланк!AH23)</f>
        <v/>
      </c>
      <c r="AI6" s="139">
        <f>IF(Бланк!$AI23="","",Бланк!$AI23)</f>
        <v>0</v>
      </c>
      <c r="AJ6" s="198"/>
      <c r="AK6" s="198"/>
      <c r="AL6" s="198"/>
      <c r="AM6" s="199"/>
      <c r="AN6" s="199"/>
      <c r="AO6" s="199"/>
      <c r="AP6" s="199"/>
      <c r="AQ6" s="200"/>
    </row>
    <row r="7" spans="1:45" s="190" customFormat="1" ht="21" customHeight="1" x14ac:dyDescent="0.2">
      <c r="B7" s="201">
        <v>4</v>
      </c>
      <c r="C7" s="192" t="str">
        <f>IF(Бланк!$C24="","",Бланк!$C24/1000)</f>
        <v/>
      </c>
      <c r="D7" s="192" t="str">
        <f>IF(Бланк!$D24="","",Бланк!$D24/1000)</f>
        <v/>
      </c>
      <c r="E7" s="192" t="str">
        <f>IF(Бланк!$E24="","",Бланк!$E24)</f>
        <v/>
      </c>
      <c r="F7" s="192" t="str">
        <f>IF(Бланк!$F24="","",Бланк!$F24)</f>
        <v/>
      </c>
      <c r="G7" s="192" t="str">
        <f>IF(Бланк!$G24="","",Бланк!$G24)</f>
        <v/>
      </c>
      <c r="H7" s="193" t="str">
        <f>IF($G7="","",VLOOKUP($G7,Наименование!$M$42:$N$95,2,FALSE))</f>
        <v/>
      </c>
      <c r="I7" s="192" t="str">
        <f>IF(Бланк!$H24="","",Бланк!$H24)</f>
        <v/>
      </c>
      <c r="J7" s="192" t="str">
        <f>IF(Бланк!$I24="","",Бланк!$I24)</f>
        <v/>
      </c>
      <c r="K7" s="194" t="str">
        <f>IF(OR($J7="",$J7=0),"",IF($J7="Пряма з чвертю",(Прайс!$D$106+Прайс!$D$109)*Просчет!$E7,IF($J7="Пряма без чверті",Прайс!$D$106*Просчет!$E7,IF(AND($J7="Шпрос з чвертю",OR($C7&lt;1,$C7=1)),(Прайс!$D$37+Прайс!$D$40)*Просчет!$E7,IF(AND($J7="Шпрос з чвертю",$C7&gt;1),(Прайс!$F$37+Прайс!$D$40)*Просчет!$E7,IF(AND($J7="Шпрос без чверті",OR($C7&lt;1,$C7=1)),Прайс!$D$37*Просчет!$E7,IF(AND($J7="Шпрос без чверті",$C7&gt;1),Прайс!$F$37*Просчет!$E7,"")))))))</f>
        <v/>
      </c>
      <c r="L7" s="192" t="str">
        <f>IF(Бланк!$J24="","",Бланк!$J24/1000)</f>
        <v/>
      </c>
      <c r="M7" s="192" t="str">
        <f>IF(Бланк!$K24="","",Бланк!$K24)</f>
        <v/>
      </c>
      <c r="N7" s="195">
        <f t="shared" si="0"/>
        <v>0</v>
      </c>
      <c r="O7" s="194">
        <f>IF($G7="гладкий",IF($M7="","",IF(OR($M7="J № 1",$M7="J № 2",$M7="J № 2L",$M7="J № 2R",$M7="AJ № 2",$M7="AJ № 2L",$M7="AJ № 2R",$M7="U",$M7="V"),$N7*Прайс!$D$43,IF(OR($M7="AJ № 3R",$M7="AJ № 4R",$M7="AJ № 5R",$M7="AJ № 3L",$M7="AJ № 4L",$M7="AJ № 5L",$M7="AJ № 3",$M7="AJ № 4",$M7="AJ № 5",$M7="J № 3",$M7="J № 4",$M7="J № 5",$M7="J № 6",$M7="J № 7",$M7="L",$M7="AL"),Прайс!$D$43*$E7,IF(OR($M7="J № 3L",$M7="J № 3R",$M7="J № 4L",$M7="J № 4R",$M7="J № 5L",$M7="J № 5R"),$N7/2*Прайс!$D$47*$E7,IF($M7="45 град.",$N7*Прайс!$D$42,0))))),0)</f>
        <v>0</v>
      </c>
      <c r="P7" s="192" t="str">
        <f>IF(Бланк!$L24="","",Бланк!$L24)</f>
        <v/>
      </c>
      <c r="Q7" s="192" t="str">
        <f>IF(Бланк!$M24="","",Бланк!$M24)</f>
        <v/>
      </c>
      <c r="R7" s="194">
        <f>IF($P7="",0,IF($Q7=$U7,0,IF($Q7="",0,IF(OR($G7=35,$G7=36,$G7=37,$G7=38),Прайс!$D$118*Бланк!E24,IF(AND($G7="гладкий",OR($M7="J № 1",$M7="J № 2",$M7="J № 2L",$M7="J № 2R")),$N7*Прайс!$D$59,0)))))</f>
        <v>0</v>
      </c>
      <c r="S7" s="192" t="str">
        <f>IF(OR(Бланк!$O24=0,Бланк!$O24=""),"",1)</f>
        <v/>
      </c>
      <c r="T7" s="192" t="str">
        <f>IF(Бланк!$R24="","",Бланк!$R24)</f>
        <v/>
      </c>
      <c r="U7" s="192" t="str">
        <f>IF(Бланк!$S24="","",Бланк!$S24)</f>
        <v/>
      </c>
      <c r="V7" s="192" t="str">
        <f>IF(Бланк!$T24="","",Бланк!$T24)</f>
        <v/>
      </c>
      <c r="W7" s="196" t="str">
        <f>IF(Бланк!$W24="","",Бланк!$W24)</f>
        <v/>
      </c>
      <c r="X7" s="197" t="str">
        <f>IF(Бланк!AB24="","",Бланк!AB24)</f>
        <v/>
      </c>
      <c r="Y7" s="197" t="str">
        <f>IF(Бланк!AC24="","",Бланк!AC24)</f>
        <v/>
      </c>
      <c r="Z7" s="195">
        <f>IF($G7="Гладкий",IF(OR($C7=0,$C7=""),0,IF(AND(OR($V7="Перли",$V7="Металік",$V7="Перл.зол.",$V7="Перл.ср.",$V7="Перл.зол.",$V7="Зор.н.ср.",$V7="Зор.н.зол.",$V7="Зор.н.різн.",$V7="Гума"),OR($F7=4,$F7=6,$F7=8,$F7=10,$F7=16)),$AI7*Прайс!$D$12,IF(AND(OR($V7="",$V7=0),$X7="Матове",OR($F7=4,$F7=6,$F7=8,$F7=10,$F7=16)),$AI7*Прайс!$D$10,IF(AND(OR($V7="",$V7=0),$X7="Глянець",OR($F7=4,$F7=6,$F7=8,$F7=10,$F7=16)),$AI7*Прайс!$D$11,IF(AND(OR($V7="",$V7=0),$X7="Софт(TS)",OR($F7=4,$F7=6,$F7=8,$F7=10,$F7=16)),$AI7*Прайс!#REF!,0))))),0)+IF($G7="Гладкий",0,IF(AND(OR($V7="Перли",$V7="Металік",$V7="Перл.зол.",$V7="Перл.ср.",$V7="Перл.зол.",$V7="Зор.н.ср.",$V7="Зор.н.зол.",$V7="Зор.н.різн.",$V7="Гума"),OR($F7=4,$F7=6,$F7=8,$F7=10,$F7=16),$H7=1),Просчет!$AI7*Прайс!$D$76,IF(AND(OR($V7="",$V7=0),$X7="Матове",OR($F7=4,$F7=6,$F7=8,$F7=10,$F7=16),$H7=1),Просчет!$AI7*Прайс!$D$73,IF(AND(OR($V7="",$V7=0),$X7="Глянець",OR($F7=4,$F7=6,$F7=8,$F7=10,$F7=16),$H7=1),Просчет!$AI7*Прайс!$D$75,IF(AND(OR($V7="",$V7=0),$G7="Софт(TS)",OR($F7=4,$F7=6,$F7=8,$F7=10,$F7=16),$H7=1),$AI7*Прайс!$D$74,IF(AND(OR($V7="",$V7=0),$X7="Матове покриття з патиною",OR($F7=4,$F7=6,$F7=8,$F7=10,$F7=16),$H7=1),$AI7*Прайс!$D$77,IF(AND(OR($V7="",$V7=0),$X7="Глянцеве покриття з патиною",OR($F7=4,$F7=6,$F7=8,$F7=10,$F7=16),$H7=1),$AI7*Прайс!$D$78,IF(AND(OR($V7="",$V7=0),$X7="Матовий DECAPE",OR($F7=4,$F7=6,$F7=8,$F7=10,$F7=16),$H7=1),$AI7*Прайс!$D$79,IF(AND(OR($V7="",$V7=0),$X7="Глянцевий DECAPE",OR($F7=4,$F7=6,$F7=8,$F7=10,$F7=16),$H7=1),$AI7*Прайс!$D$80,0)))))))))+IF($G7="Гладкий",0,IF(AND(OR($V7="Перли",$V7="Металік",$V7="Перл.зол.",$V7="Перл.ср.",$V7="Перл.зол.",$V7="Зор.н.ср.",$V7="Зор.н.зол.",$V7="Зор.н.різн.",$V7="Гума"),OR($F7=4,$F7=6,$F7=8,$F7=10,$F7=16),$H7=2),$AI7*Прайс!$E$76,IF(AND(OR($V7="",$V7=0),$X7="Матове",OR($F7=4,$F7=6,$F7=8,$F7=10,$F7=16),$H7=2),Просчет!$AI7*Прайс!$E$73,IF(AND(OR($V7="",$V7=0),$X7="Глянець",OR($F7=4,$F7=6,$F7=8,$F7=10,$F7=16),$H7=2),$AI7*Прайс!$E$75,IF(AND(OR($V7="",$V7=0),$X7="Софт(TS)",OR($F7=4,$F7=6,$F7=8,$F7=10,$F7=16),$H7=2),$AI7*Прайс!$E$74,IF(AND(OR($V7="",$V7=0),$X7="Матове покриття з патиною",OR($F7=4,$F7=6,$F7=8,$F7=10,$F7=16),$H7=2),$AI7*Прайс!$E$77,IF(AND(OR($V7="",$V7=0),$X7="Глянцеве покриття з патиною",OR($F7=4,$F7=6,$F7=8,$F7=10,$F7=16),$H7=2),$AI7*Прайс!$E$78,IF(AND(OR($V7="",$V7=0),$X7="Матовий DECAPE",OR($F7=4,$F7=6,$F7=8,$F7=10,$F7=16),$H7=2),$AI7*Прайс!$E$79,IF(AND(OR($V7="",$V7=0),$X7="Глянцевий DECAPE",OR($F7=4,$F7=6,$F7=8,$F7=10,$F7=16),$H7=2),$AI7*Прайс!$E$80,0)))))))))+IF(AND($S7=1,OR($H7=1,$H7=0),$X7=Наименование!$L$12,OR($F7=4,$F7=6,$F7=8,$F7=10,$F7=16)),$AI7*Прайс!$D$89,IF(AND($S7=1,OR($H7=1,$H7=0),$X7=Наименование!$L$13,OR($F7=4,$F7=6,$F7=8,$F7=10,$F7=16)),$AI7*Прайс!$D$90,IF(AND($S7=1,OR($H7=1,$H7=0),$X7=Наименование!$L17,OR($F7=4,$F7=6,$F7=8,$F7=10,$F7=16)),$AI7*Прайс!$D$91,IF(AND($S7=1,OR($H7=1,$H7=0),$X7=Наименование!$L$15,OR($F7=4,$F7=6,$F7=8,$F7=10,$F7=16)),$AI7*Прайс!$D$92,0))))+IF(AND($S7=1,$H7=2,$X7=Наименование!$L$12,OR($F7=4,$F7=6,$F7=8,$F7=10,$F7=16)),$AI7*Прайс!$E$89,IF(AND($S7=1,$H7=2,$X7=Наименование!$L$13,OR($F7=4,$F7=6,$F7=8,$F7=10,$F7=16)),$AI7*Прайс!$E$90,IF(AND($S7=1,$H7=2,$X7=Наименование!$L$14,OR($F7=4,$F7=6,$F7=8,$F7=10,$F7=16)),$AI7*Прайс!$E$91,IF(AND($S7=1,$H7=2,$X7=Наименование!$L$15,OR($F7=4,$F7=6,$F7=8,$F7=10,$F7=16)),$AI7*Прайс!$E$92))))</f>
        <v>0</v>
      </c>
      <c r="AA7" s="195">
        <f>IF($G7="Гладкий",IF(OR($C7=0,$C7=""),0,IF(AND(OR($V7="Перли",$V7="Металік",$V7="Перл.зол.",$V7="Перл.ср.",$V7="Перл.зол.",$V7="Зор.н.ср.",$V7="Зор.н.зол.",$V7="Зор.н.різн.",$V7="Гума"),$F7=19),$AI7*Прайс!$E$12,IF(AND(OR($V7="",$V7=0),$X7="Матове",$F7=19),$AI7*Прайс!$E$10,IF(AND(OR($V7="",$V7=0),$X7="Глянець",$F7=19),$AI7*Прайс!$E$11,IF(AND(OR($V7="",$V7=0),$X7="Софт(TS)",$F7=19),$AI7*Прайс!#REF!,0))))),0)+IF($G7="Гладкий",0,IF(AND(OR($V7="Перли",$V7="Металік",$V7="Перл.зол.",$V7="Перл.ср.",$V7="Перл.зол.",$V7="Зор.н.ср.",$V7="Зор.н.зол.",$V7="Зор.н.різн.",$V7="Гума"),$F7=19,$H7=1),Просчет!$AI7*Прайс!$F$76,IF(AND(OR($V7="",$V7=0),$X7="Матове",$F7=19,$H7=1),Просчет!$AI7*Прайс!$F$73,IF(AND(OR($V7="",$V7=0),$X7="Глянець",$F7=19,$H7=1),Просчет!$AI7*Прайс!$F$75,IF(AND(OR($V7="",$V7=0),$G7="Софт(TS)",$F7=19,$H7=1),$AI7*Прайс!$F$74,IF(AND(OR($V7="",$V7=0),$X7="Матове покриття з патиною",$F7=19,$H7=1),$AI7*Прайс!$F$77,IF(AND(OR($V7="",$V7=0),$X7="Глянцеве покриття з патиною",$F7=19,$H7=1),$AI7*Прайс!$F$78,IF(AND(OR($V7="",$V7=0),$X7="Матовий DECAPE",$F7=19,$H7=1),$AI7*Прайс!$F$79,IF(AND(OR($V7="",$V7=0),$X7="Глянцевий DECAPE",$F7=19,$H7=1),$AI7*Прайс!$F$80,0)))))))))+IF($G7="Гладкий",0,IF(AND(OR($V7="Перли",$V7="Металік",$V7="Перл.зол.",$V7="Перл.ср.",$V7="Перл.зол.",$V7="Зор.н.ср.",$V7="Зор.н.зол.",$V7="Зор.н.різн.",$V7="Гума"),$F7=19,$H7=2),$AI7*Прайс!$G$76,IF(AND(OR($V7="",$V7=0),$X7="Матове",$F7=19,$H7=2),Просчет!$AI7*Прайс!$G$73,IF(AND(OR($V7="",$V7=0),$X7="Глянець",$F7=19,$H7=2),$AI7*Прайс!$G$75,IF(AND(OR($V7="",$V7=0),$X7="Софт(TS)",$F7=19,$H7=2),$AI7*Прайс!$G$74,IF(AND(OR($V7="",$V7=0),$X7="Матове покриття з патиною",$F7=19,$H7=2),$AI7*Прайс!$G$77,IF(AND(OR($V7="",$V7=0),$X7="Глянцеве покриття з патиною",$F7=19,$H7=2),$AI7*Прайс!$G$78,IF(AND(OR($V7="",$V7=0),$X7="Матовий DECAPE",$F7=19,$H7=2),$AI7*Прайс!$G$79,IF(AND(OR($V7="",$V7=0),$X7="Глянцевий DECAPE",$F7=19,$H7=2),$AI7*Прайс!$G$78,0)))))))))+IF(AND($S7=1,OR($H7=1,$H7=0),$X7=Наименование!$L$12,$F7=19),$AI7*Прайс!$F$89,IF(AND($S7=1,OR($H7=1,$H7=0),$X7=Наименование!$L$13,$F7=19),$AI7*Прайс!$F$90,IF(AND($S7=1,OR($H7=1,$H7=0),$X7=Наименование!$L17,$F7=19),$AI7*Прайс!$F$91,IF(AND($S7=1,OR($H7=1,$H7=0),$X7=Наименование!$L$15,$F7=19),$AI7*Прайс!$F$92,0))))+IF(AND($S7=1,$H7=2,$X7=Наименование!$L$12,$F7=19),$AI7*Прайс!$G$89,IF(AND($S7=1,$H7=2,$X7=Наименование!$L$13,$F7=19),$AI7*Прайс!$G$90,IF(AND($S7=1,$H7=2,$X7=Наименование!$L$14,$F7=19),$AI7*Прайс!$G$91,IF(AND($S7=1,$H7=2,$X7=Наименование!$L$15,$F7=19),$AI7*Прайс!$G$92))))</f>
        <v>0</v>
      </c>
      <c r="AB7" s="195">
        <f>IF($G7="Гладкий",IF(OR($C7=0,$C7=""),0,IF($Y7="Матове",$AI7*(Прайс!$D$10-500),IF($Y7="Глянець",$AI7*(Прайс!$D$11-500),IF($Y7="Софт(TS)",$AI7*(Прайс!#REF!-500),0)))),0)+IF($G7="Гладкий",0,IF(AND($Y7="Матове",$H7=1),$AI7*Прайс!$D$73*0.5,IF(AND($Y7="Глянець",$H7=1),$AI7*Прайс!$D$75*0.5,IF(AND($Y7="Софт(TS)",$H7=1),$AI7*Прайс!$D$74*0.5,IF(AND($Y7="Матове покриття з патиною",$H7=1),$AI7*Прайс!$D$77*0.5,IF(AND($Y7="Глянцеве покриття з патиною",$H7=1),$AI7*Прайс!$D$78*0.5,IF(AND($Y7="Матовий DECAPE",$H7=1),$AI7*Прайс!$D$79*0.5,IF(AND($Y7="Глянцевий DECAPE",$H7=1),$AI7*Прайс!$D$80*0.5,0))))))))+IF($G7="Гладкий",0,IF(AND($Y7="Матове",$H7=2),$AI7*Прайс!$E$73*0.5,IF(AND($Y7="Глянець",$H7=2),$AI7*Прайс!$E$75*0.5,IF(AND($Y7="Софт(TS)",$H7=2),$AI7*Прайс!$E$74*0.5,IF(AND($Y7="Матове покриття з патиною",$H7=2),$AI7*Прайс!$E$77*0.5,IF(AND($Y7="Глянцеве покриття з патиною",$H7=2),$AI7*Прайс!$E$78*0.5,IF(AND($Y7="Матовий DECAPE",$H7=2),$AI7*Прайс!$E$79*0.5,IF(AND($Y7="Глянцевий DECAPE",$H7=2),$AI7*Прайс!$E$80*0.5,0)))))))+IF(AND($S7=1,OR($H7=1,$H7=0),$Y7=Прайс!$C$89),$AI7*[1]Прайс!$D$74*0.5,IF(AND($S7=1,OR($H7=1,$H7=0),$Y7=Прайс!$C$90),$AI7*Прайс!$D$90*0.5,IF(AND($S7=1,OR($H7=1,$H7=0),$Y7=Прайс!$C$91),$AI7*Прайс!$D$91*0.5,IF(AND($S7=1,OR($H7=1,$H7=0),$Y7=Прайс!$C$92),$AI7*Прайс!$D$92*0.5,0))))+IF(AND($S7=1,$H7=2,$Y7=Прайс!$C$89),$AI7*Прайс!$E$89*0.5,IF(AND($S7=1,$H7=2,$Y7=Прайс!$C$90),$AI7*Прайс!$E$90*0.5,IF(AND($S7=1,$H7=2,$Y7=Прайс!$C$91),$AI7*Прайс!$E$91*0.5,IF(AND($S7=1,$H7=2,$Y7=Прайс!$C$92),$AI7*Прайс!$E$92*0.5,0)))))</f>
        <v>0</v>
      </c>
      <c r="AC7" s="197" t="str">
        <f>IF(Бланк!AD24="","",Бланк!AD24*E7)</f>
        <v/>
      </c>
      <c r="AD7" s="195">
        <f>IF(OR($AC7=0,$AC7=""),0,$AC7*Прайс!$D$111)</f>
        <v>0</v>
      </c>
      <c r="AE7" s="197" t="str">
        <f>IF(Бланк!AE24="","",Бланк!AE24)</f>
        <v/>
      </c>
      <c r="AF7" s="197" t="str">
        <f>IF(Бланк!AF24="","",Бланк!AF24)</f>
        <v/>
      </c>
      <c r="AG7" s="197" t="str">
        <f>IF(Бланк!AG24="","",Бланк!AG24)</f>
        <v/>
      </c>
      <c r="AH7" s="197" t="str">
        <f>IF(Бланк!AH24="","",Бланк!AH24)</f>
        <v/>
      </c>
      <c r="AI7" s="139">
        <f>IF(Бланк!$AI24="","",Бланк!$AI24)</f>
        <v>0</v>
      </c>
      <c r="AJ7" s="198"/>
      <c r="AK7" s="198"/>
      <c r="AL7" s="198"/>
      <c r="AM7" s="199"/>
      <c r="AN7" s="199"/>
      <c r="AO7" s="199"/>
      <c r="AP7" s="199"/>
      <c r="AQ7" s="200"/>
    </row>
    <row r="8" spans="1:45" s="190" customFormat="1" ht="21" customHeight="1" x14ac:dyDescent="0.2">
      <c r="B8" s="201">
        <v>5</v>
      </c>
      <c r="C8" s="192" t="str">
        <f>IF(Бланк!$C25="","",Бланк!$C25/1000)</f>
        <v/>
      </c>
      <c r="D8" s="192" t="str">
        <f>IF(Бланк!$D25="","",Бланк!$D25/1000)</f>
        <v/>
      </c>
      <c r="E8" s="192" t="str">
        <f>IF(Бланк!$E25="","",Бланк!$E25)</f>
        <v/>
      </c>
      <c r="F8" s="192" t="str">
        <f>IF(Бланк!$F25="","",Бланк!$F25)</f>
        <v/>
      </c>
      <c r="G8" s="192" t="str">
        <f>IF(Бланк!$G25="","",Бланк!$G25)</f>
        <v/>
      </c>
      <c r="H8" s="193" t="str">
        <f>IF($G8="","",VLOOKUP($G8,Наименование!$M$42:$N$95,2,FALSE))</f>
        <v/>
      </c>
      <c r="I8" s="192" t="str">
        <f>IF(Бланк!$H25="","",Бланк!$H25)</f>
        <v/>
      </c>
      <c r="J8" s="192" t="str">
        <f>IF(Бланк!$I25="","",Бланк!$I25)</f>
        <v/>
      </c>
      <c r="K8" s="194" t="str">
        <f>IF(OR($J8="",$J8=0),"",IF($J8="Пряма з чвертю",(Прайс!$D$106+Прайс!$D$109)*Просчет!$E8,IF($J8="Пряма без чверті",Прайс!$D$106*Просчет!$E8,IF(AND($J8="Шпрос з чвертю",OR($C8&lt;1,$C8=1)),(Прайс!$D$37+Прайс!$D$40)*Просчет!$E8,IF(AND($J8="Шпрос з чвертю",$C8&gt;1),(Прайс!$F$37+Прайс!$D$40)*Просчет!$E8,IF(AND($J8="Шпрос без чверті",OR($C8&lt;1,$C8=1)),Прайс!$D$37*Просчет!$E8,IF(AND($J8="Шпрос без чверті",$C8&gt;1),Прайс!$F$37*Просчет!$E8,"")))))))</f>
        <v/>
      </c>
      <c r="L8" s="192" t="str">
        <f>IF(Бланк!$J25="","",Бланк!$J25/1000)</f>
        <v/>
      </c>
      <c r="M8" s="192" t="str">
        <f>IF(Бланк!$K25="","",Бланк!$K25)</f>
        <v/>
      </c>
      <c r="N8" s="195">
        <f t="shared" si="0"/>
        <v>0</v>
      </c>
      <c r="O8" s="194">
        <f>IF($G8="гладкий",IF($M8="","",IF(OR($M8="J № 1",$M8="J № 2",$M8="J № 2L",$M8="J № 2R",$M8="AJ № 2",$M8="AJ № 2L",$M8="AJ № 2R",$M8="U",$M8="V"),$N8*Прайс!$D$43,IF(OR($M8="AJ № 3R",$M8="AJ № 4R",$M8="AJ № 5R",$M8="AJ № 3L",$M8="AJ № 4L",$M8="AJ № 5L",$M8="AJ № 3",$M8="AJ № 4",$M8="AJ № 5",$M8="J № 3",$M8="J № 4",$M8="J № 5",$M8="J № 6",$M8="J № 7",$M8="L",$M8="AL"),Прайс!$D$43*$E8,IF(OR($M8="J № 3L",$M8="J № 3R",$M8="J № 4L",$M8="J № 4R",$M8="J № 5L",$M8="J № 5R"),$N8/2*Прайс!$D$47*$E8,IF($M8="45 град.",$N8*Прайс!$D$42,0))))),0)</f>
        <v>0</v>
      </c>
      <c r="P8" s="192" t="str">
        <f>IF(Бланк!$L25="","",Бланк!$L25)</f>
        <v/>
      </c>
      <c r="Q8" s="193" t="str">
        <f>IF(Бланк!$M25="","",Бланк!$M25)</f>
        <v/>
      </c>
      <c r="R8" s="194">
        <f>IF($P8="",0,IF($Q8=$U8,0,IF($Q8="",0,IF(OR($G8=35,$G8=36,$G8=37,$G8=38),Прайс!$D$118*Бланк!E25,IF(AND($G8="гладкий",OR($M8="J № 1",$M8="J № 2",$M8="J № 2L",$M8="J № 2R")),$N8*Прайс!$D$59,0)))))</f>
        <v>0</v>
      </c>
      <c r="S8" s="192" t="str">
        <f>IF(OR(Бланк!$O25=0,Бланк!$O25=""),"",1)</f>
        <v/>
      </c>
      <c r="T8" s="192" t="str">
        <f>IF(Бланк!$R25="","",Бланк!$R25)</f>
        <v/>
      </c>
      <c r="U8" s="192" t="str">
        <f>IF(Бланк!$S25="","",Бланк!$S25)</f>
        <v/>
      </c>
      <c r="V8" s="192" t="str">
        <f>IF(Бланк!$T25="","",Бланк!$T25)</f>
        <v/>
      </c>
      <c r="W8" s="196" t="str">
        <f>IF(Бланк!$W25="","",Бланк!$W25)</f>
        <v/>
      </c>
      <c r="X8" s="197" t="str">
        <f>IF(Бланк!AB25="","",Бланк!AB25)</f>
        <v/>
      </c>
      <c r="Y8" s="197" t="str">
        <f>IF(Бланк!AC25="","",Бланк!AC25)</f>
        <v/>
      </c>
      <c r="Z8" s="195">
        <f>IF($G8="Гладкий",IF(OR($C8=0,$C8=""),0,IF(AND(OR($V8="Перли",$V8="Металік",$V8="Перл.зол.",$V8="Перл.ср.",$V8="Перл.зол.",$V8="Зор.н.ср.",$V8="Зор.н.зол.",$V8="Зор.н.різн.",$V8="Гума"),OR($F8=4,$F8=6,$F8=8,$F8=10,$F8=16)),$AI8*Прайс!$D$12,IF(AND(OR($V8="",$V8=0),$X8="Матове",OR($F8=4,$F8=6,$F8=8,$F8=10,$F8=16)),$AI8*Прайс!$D$10,IF(AND(OR($V8="",$V8=0),$X8="Глянець",OR($F8=4,$F8=6,$F8=8,$F8=10,$F8=16)),$AI8*Прайс!$D$11,IF(AND(OR($V8="",$V8=0),$X8="Софт(TS)",OR($F8=4,$F8=6,$F8=8,$F8=10,$F8=16)),$AI8*Прайс!#REF!,0))))),0)+IF($G8="Гладкий",0,IF(AND(OR($V8="Перли",$V8="Металік",$V8="Перл.зол.",$V8="Перл.ср.",$V8="Перл.зол.",$V8="Зор.н.ср.",$V8="Зор.н.зол.",$V8="Зор.н.різн.",$V8="Гума"),OR($F8=4,$F8=6,$F8=8,$F8=10,$F8=16),$H8=1),Просчет!$AI8*Прайс!$D$76,IF(AND(OR($V8="",$V8=0),$X8="Матове",OR($F8=4,$F8=6,$F8=8,$F8=10,$F8=16),$H8=1),Просчет!$AI8*Прайс!$D$73,IF(AND(OR($V8="",$V8=0),$X8="Глянець",OR($F8=4,$F8=6,$F8=8,$F8=10,$F8=16),$H8=1),Просчет!$AI8*Прайс!$D$75,IF(AND(OR($V8="",$V8=0),$G8="Софт(TS)",OR($F8=4,$F8=6,$F8=8,$F8=10,$F8=16),$H8=1),$AI8*Прайс!$D$74,IF(AND(OR($V8="",$V8=0),$X8="Матове покриття з патиною",OR($F8=4,$F8=6,$F8=8,$F8=10,$F8=16),$H8=1),$AI8*Прайс!$D$77,IF(AND(OR($V8="",$V8=0),$X8="Глянцеве покриття з патиною",OR($F8=4,$F8=6,$F8=8,$F8=10,$F8=16),$H8=1),$AI8*Прайс!$D$78,IF(AND(OR($V8="",$V8=0),$X8="Матовий DECAPE",OR($F8=4,$F8=6,$F8=8,$F8=10,$F8=16),$H8=1),$AI8*Прайс!$D$79,IF(AND(OR($V8="",$V8=0),$X8="Глянцевий DECAPE",OR($F8=4,$F8=6,$F8=8,$F8=10,$F8=16),$H8=1),$AI8*Прайс!$D$80,0)))))))))+IF($G8="Гладкий",0,IF(AND(OR($V8="Перли",$V8="Металік",$V8="Перл.зол.",$V8="Перл.ср.",$V8="Перл.зол.",$V8="Зор.н.ср.",$V8="Зор.н.зол.",$V8="Зор.н.різн.",$V8="Гума"),OR($F8=4,$F8=6,$F8=8,$F8=10,$F8=16),$H8=2),$AI8*Прайс!$E$76,IF(AND(OR($V8="",$V8=0),$X8="Матове",OR($F8=4,$F8=6,$F8=8,$F8=10,$F8=16),$H8=2),Просчет!$AI8*Прайс!$E$73,IF(AND(OR($V8="",$V8=0),$X8="Глянець",OR($F8=4,$F8=6,$F8=8,$F8=10,$F8=16),$H8=2),$AI8*Прайс!$E$75,IF(AND(OR($V8="",$V8=0),$X8="Софт(TS)",OR($F8=4,$F8=6,$F8=8,$F8=10,$F8=16),$H8=2),$AI8*Прайс!$E$74,IF(AND(OR($V8="",$V8=0),$X8="Матове покриття з патиною",OR($F8=4,$F8=6,$F8=8,$F8=10,$F8=16),$H8=2),$AI8*Прайс!$E$77,IF(AND(OR($V8="",$V8=0),$X8="Глянцеве покриття з патиною",OR($F8=4,$F8=6,$F8=8,$F8=10,$F8=16),$H8=2),$AI8*Прайс!$E$78,IF(AND(OR($V8="",$V8=0),$X8="Матовий DECAPE",OR($F8=4,$F8=6,$F8=8,$F8=10,$F8=16),$H8=2),$AI8*Прайс!$E$79,IF(AND(OR($V8="",$V8=0),$X8="Глянцевий DECAPE",OR($F8=4,$F8=6,$F8=8,$F8=10,$F8=16),$H8=2),$AI8*Прайс!$E$80,0)))))))))+IF(AND($S8=1,OR($H8=1,$H8=0),$X8=Наименование!$L$12,OR($F8=4,$F8=6,$F8=8,$F8=10,$F8=16)),$AI8*Прайс!$D$89,IF(AND($S8=1,OR($H8=1,$H8=0),$X8=Наименование!$L$13,OR($F8=4,$F8=6,$F8=8,$F8=10,$F8=16)),$AI8*Прайс!$D$90,IF(AND($S8=1,OR($H8=1,$H8=0),$X8=Наименование!$L18,OR($F8=4,$F8=6,$F8=8,$F8=10,$F8=16)),$AI8*Прайс!$D$91,IF(AND($S8=1,OR($H8=1,$H8=0),$X8=Наименование!$L$15,OR($F8=4,$F8=6,$F8=8,$F8=10,$F8=16)),$AI8*Прайс!$D$92,0))))+IF(AND($S8=1,$H8=2,$X8=Наименование!$L$12,OR($F8=4,$F8=6,$F8=8,$F8=10,$F8=16)),$AI8*Прайс!$E$89,IF(AND($S8=1,$H8=2,$X8=Наименование!$L$13,OR($F8=4,$F8=6,$F8=8,$F8=10,$F8=16)),$AI8*Прайс!$E$90,IF(AND($S8=1,$H8=2,$X8=Наименование!$L$14,OR($F8=4,$F8=6,$F8=8,$F8=10,$F8=16)),$AI8*Прайс!$E$91,IF(AND($S8=1,$H8=2,$X8=Наименование!$L$15,OR($F8=4,$F8=6,$F8=8,$F8=10,$F8=16)),$AI8*Прайс!$E$92))))</f>
        <v>0</v>
      </c>
      <c r="AA8" s="195">
        <f>IF($G8="Гладкий",IF(OR($C8=0,$C8=""),0,IF(AND(OR($V8="Перли",$V8="Металік",$V8="Перл.зол.",$V8="Перл.ср.",$V8="Перл.зол.",$V8="Зор.н.ср.",$V8="Зор.н.зол.",$V8="Зор.н.різн.",$V8="Гума"),$F8=19),$AI8*Прайс!$E$12,IF(AND(OR($V8="",$V8=0),$X8="Матове",$F8=19),$AI8*Прайс!$E$10,IF(AND(OR($V8="",$V8=0),$X8="Глянець",$F8=19),$AI8*Прайс!$E$11,IF(AND(OR($V8="",$V8=0),$X8="Софт(TS)",$F8=19),$AI8*Прайс!#REF!,0))))),0)+IF($G8="Гладкий",0,IF(AND(OR($V8="Перли",$V8="Металік",$V8="Перл.зол.",$V8="Перл.ср.",$V8="Перл.зол.",$V8="Зор.н.ср.",$V8="Зор.н.зол.",$V8="Зор.н.різн.",$V8="Гума"),$F8=19,$H8=1),Просчет!$AI8*Прайс!$F$76,IF(AND(OR($V8="",$V8=0),$X8="Матове",$F8=19,$H8=1),Просчет!$AI8*Прайс!$F$73,IF(AND(OR($V8="",$V8=0),$X8="Глянець",$F8=19,$H8=1),Просчет!$AI8*Прайс!$F$75,IF(AND(OR($V8="",$V8=0),$G8="Софт(TS)",$F8=19,$H8=1),$AI8*Прайс!$F$74,IF(AND(OR($V8="",$V8=0),$X8="Матове покриття з патиною",$F8=19,$H8=1),$AI8*Прайс!$F$77,IF(AND(OR($V8="",$V8=0),$X8="Глянцеве покриття з патиною",$F8=19,$H8=1),$AI8*Прайс!$F$78,IF(AND(OR($V8="",$V8=0),$X8="Матовий DECAPE",$F8=19,$H8=1),$AI8*Прайс!$F$79,IF(AND(OR($V8="",$V8=0),$X8="Глянцевий DECAPE",$F8=19,$H8=1),$AI8*Прайс!$F$80,0)))))))))+IF($G8="Гладкий",0,IF(AND(OR($V8="Перли",$V8="Металік",$V8="Перл.зол.",$V8="Перл.ср.",$V8="Перл.зол.",$V8="Зор.н.ср.",$V8="Зор.н.зол.",$V8="Зор.н.різн.",$V8="Гума"),$F8=19,$H8=2),$AI8*Прайс!$G$76,IF(AND(OR($V8="",$V8=0),$X8="Матове",$F8=19,$H8=2),Просчет!$AI8*Прайс!$G$73,IF(AND(OR($V8="",$V8=0),$X8="Глянець",$F8=19,$H8=2),$AI8*Прайс!$G$75,IF(AND(OR($V8="",$V8=0),$X8="Софт(TS)",$F8=19,$H8=2),$AI8*Прайс!$G$74,IF(AND(OR($V8="",$V8=0),$X8="Матове покриття з патиною",$F8=19,$H8=2),$AI8*Прайс!$G$77,IF(AND(OR($V8="",$V8=0),$X8="Глянцеве покриття з патиною",$F8=19,$H8=2),$AI8*Прайс!$G$78,IF(AND(OR($V8="",$V8=0),$X8="Матовий DECAPE",$F8=19,$H8=2),$AI8*Прайс!$G$79,IF(AND(OR($V8="",$V8=0),$X8="Глянцевий DECAPE",$F8=19,$H8=2),$AI8*Прайс!$G$78,0)))))))))+IF(AND($S8=1,OR($H8=1,$H8=0),$X8=Наименование!$L$12,$F8=19),$AI8*Прайс!$F$89,IF(AND($S8=1,OR($H8=1,$H8=0),$X8=Наименование!$L$13,$F8=19),$AI8*Прайс!$F$90,IF(AND($S8=1,OR($H8=1,$H8=0),$X8=Наименование!$L18,$F8=19),$AI8*Прайс!$F$91,IF(AND($S8=1,OR($H8=1,$H8=0),$X8=Наименование!$L$15,$F8=19),$AI8*Прайс!$F$92,0))))+IF(AND($S8=1,$H8=2,$X8=Наименование!$L$12,$F8=19),$AI8*Прайс!$G$89,IF(AND($S8=1,$H8=2,$X8=Наименование!$L$13,$F8=19),$AI8*Прайс!$G$90,IF(AND($S8=1,$H8=2,$X8=Наименование!$L$14,$F8=19),$AI8*Прайс!$G$91,IF(AND($S8=1,$H8=2,$X8=Наименование!$L$15,$F8=19),$AI8*Прайс!$G$92))))</f>
        <v>0</v>
      </c>
      <c r="AB8" s="195">
        <f>IF($G8="Гладкий",IF(OR($C8=0,$C8=""),0,IF($Y8="Матове",$AI8*(Прайс!$D$10-500),IF($Y8="Глянець",$AI8*(Прайс!$D$11-500),IF($Y8="Софт(TS)",$AI8*(Прайс!#REF!-500),0)))),0)+IF($G8="Гладкий",0,IF(AND($Y8="Матове",$H8=1),$AI8*Прайс!$D$73*0.5,IF(AND($Y8="Глянець",$H8=1),$AI8*Прайс!$D$75*0.5,IF(AND($Y8="Софт(TS)",$H8=1),$AI8*Прайс!$D$74*0.5,IF(AND($Y8="Матове покриття з патиною",$H8=1),$AI8*Прайс!$D$77*0.5,IF(AND($Y8="Глянцеве покриття з патиною",$H8=1),$AI8*Прайс!$D$78*0.5,IF(AND($Y8="Матовий DECAPE",$H8=1),$AI8*Прайс!$D$79*0.5,IF(AND($Y8="Глянцевий DECAPE",$H8=1),$AI8*Прайс!$D$80*0.5,0))))))))+IF($G8="Гладкий",0,IF(AND($Y8="Матове",$H8=2),$AI8*Прайс!$E$73*0.5,IF(AND($Y8="Глянець",$H8=2),$AI8*Прайс!$E$75*0.5,IF(AND($Y8="Софт(TS)",$H8=2),$AI8*Прайс!$E$74*0.5,IF(AND($Y8="Матове покриття з патиною",$H8=2),$AI8*Прайс!$E$77*0.5,IF(AND($Y8="Глянцеве покриття з патиною",$H8=2),$AI8*Прайс!$E$78*0.5,IF(AND($Y8="Матовий DECAPE",$H8=2),$AI8*Прайс!$E$79*0.5,IF(AND($Y8="Глянцевий DECAPE",$H8=2),$AI8*Прайс!$E$80*0.5,0)))))))+IF(AND($S8=1,OR($H8=1,$H8=0),$Y8=Прайс!$C$89),$AI8*[1]Прайс!$D$74*0.5,IF(AND($S8=1,OR($H8=1,$H8=0),$Y8=Прайс!$C$90),$AI8*Прайс!$D$90*0.5,IF(AND($S8=1,OR($H8=1,$H8=0),$Y8=Прайс!$C$91),$AI8*Прайс!$D$91*0.5,IF(AND($S8=1,OR($H8=1,$H8=0),$Y8=Прайс!$C$92),$AI8*Прайс!$D$92*0.5,0))))+IF(AND($S8=1,$H8=2,$Y8=Прайс!$C$89),$AI8*Прайс!$E$89*0.5,IF(AND($S8=1,$H8=2,$Y8=Прайс!$C$90),$AI8*Прайс!$E$90*0.5,IF(AND($S8=1,$H8=2,$Y8=Прайс!$C$91),$AI8*Прайс!$E$91*0.5,IF(AND($S8=1,$H8=2,$Y8=Прайс!$C$92),$AI8*Прайс!$E$92*0.5,0)))))</f>
        <v>0</v>
      </c>
      <c r="AC8" s="197" t="str">
        <f>IF(Бланк!AD25="","",Бланк!AD25*E8)</f>
        <v/>
      </c>
      <c r="AD8" s="195">
        <f>IF(OR($AC8=0,$AC8=""),0,$AC8*Прайс!$D$111)</f>
        <v>0</v>
      </c>
      <c r="AE8" s="197" t="str">
        <f>IF(Бланк!AE25="","",Бланк!AE25)</f>
        <v/>
      </c>
      <c r="AF8" s="197" t="str">
        <f>IF(Бланк!AF25="","",Бланк!AF25)</f>
        <v/>
      </c>
      <c r="AG8" s="197" t="str">
        <f>IF(Бланк!AG25="","",Бланк!AG25)</f>
        <v/>
      </c>
      <c r="AH8" s="197" t="str">
        <f>IF(Бланк!AH25="","",Бланк!AH25)</f>
        <v/>
      </c>
      <c r="AI8" s="139">
        <f>IF(Бланк!$AI25="","",Бланк!$AI25)</f>
        <v>0</v>
      </c>
      <c r="AJ8" s="198"/>
      <c r="AK8" s="198"/>
      <c r="AL8" s="198"/>
      <c r="AM8" s="199"/>
      <c r="AN8" s="199"/>
      <c r="AO8" s="199"/>
      <c r="AP8" s="199"/>
      <c r="AQ8" s="200"/>
    </row>
    <row r="9" spans="1:45" s="190" customFormat="1" ht="21" customHeight="1" x14ac:dyDescent="0.2">
      <c r="B9" s="201">
        <v>6</v>
      </c>
      <c r="C9" s="192" t="str">
        <f>IF(Бланк!$C26="","",Бланк!$C26/1000)</f>
        <v/>
      </c>
      <c r="D9" s="192" t="str">
        <f>IF(Бланк!$D26="","",Бланк!$D26/1000)</f>
        <v/>
      </c>
      <c r="E9" s="192" t="str">
        <f>IF(Бланк!$E26="","",Бланк!$E26)</f>
        <v/>
      </c>
      <c r="F9" s="192" t="str">
        <f>IF(Бланк!$F26="","",Бланк!$F26)</f>
        <v/>
      </c>
      <c r="G9" s="192" t="str">
        <f>IF(Бланк!$G26="","",Бланк!$G26)</f>
        <v/>
      </c>
      <c r="H9" s="193" t="str">
        <f>IF($G9="","",VLOOKUP($G9,Наименование!$M$42:$N$95,2,FALSE))</f>
        <v/>
      </c>
      <c r="I9" s="192" t="str">
        <f>IF(Бланк!$H26="","",Бланк!$H26)</f>
        <v/>
      </c>
      <c r="J9" s="192" t="str">
        <f>IF(Бланк!$I26="","",Бланк!$I26)</f>
        <v/>
      </c>
      <c r="K9" s="194" t="str">
        <f>IF(OR($J9="",$J9=0),"",IF($J9="Пряма з чвертю",(Прайс!$D$106+Прайс!$D$109)*Просчет!$E9,IF($J9="Пряма без чверті",Прайс!$D$106*Просчет!$E9,IF(AND($J9="Шпрос з чвертю",OR($C9&lt;1,$C9=1)),(Прайс!$D$37+Прайс!$D$40)*Просчет!$E9,IF(AND($J9="Шпрос з чвертю",$C9&gt;1),(Прайс!$F$37+Прайс!$D$40)*Просчет!$E9,IF(AND($J9="Шпрос без чверті",OR($C9&lt;1,$C9=1)),Прайс!$D$37*Просчет!$E9,IF(AND($J9="Шпрос без чверті",$C9&gt;1),Прайс!$F$37*Просчет!$E9,"")))))))</f>
        <v/>
      </c>
      <c r="L9" s="192" t="str">
        <f>IF(Бланк!$J26="","",Бланк!$J26/1000)</f>
        <v/>
      </c>
      <c r="M9" s="192" t="str">
        <f>IF(Бланк!$K26="","",Бланк!$K26)</f>
        <v/>
      </c>
      <c r="N9" s="195">
        <f t="shared" si="0"/>
        <v>0</v>
      </c>
      <c r="O9" s="194">
        <f>IF($G9="гладкий",IF($M9="","",IF(OR($M9="J № 1",$M9="J № 2",$M9="J № 2L",$M9="J № 2R",$M9="AJ № 2",$M9="AJ № 2L",$M9="AJ № 2R",$M9="U",$M9="V"),$N9*Прайс!$D$43,IF(OR($M9="AJ № 3R",$M9="AJ № 4R",$M9="AJ № 5R",$M9="AJ № 3L",$M9="AJ № 4L",$M9="AJ № 5L",$M9="AJ № 3",$M9="AJ № 4",$M9="AJ № 5",$M9="J № 3",$M9="J № 4",$M9="J № 5",$M9="J № 6",$M9="J № 7",$M9="L",$M9="AL"),Прайс!$D$43*$E9,IF(OR($M9="J № 3L",$M9="J № 3R",$M9="J № 4L",$M9="J № 4R",$M9="J № 5L",$M9="J № 5R"),$N9/2*Прайс!$D$47*$E9,IF($M9="45 град.",$N9*Прайс!$D$42,0))))),0)</f>
        <v>0</v>
      </c>
      <c r="P9" s="192" t="str">
        <f>IF(Бланк!$L26="","",Бланк!$L26)</f>
        <v/>
      </c>
      <c r="Q9" s="192" t="str">
        <f>IF(Бланк!$M26="","",Бланк!$M26)</f>
        <v/>
      </c>
      <c r="R9" s="194">
        <f>IF($P9="",0,IF($Q9=$U9,0,IF($Q9="",0,IF(OR($G9=35,$G9=36,$G9=37,$G9=38),Прайс!$D$118*Бланк!E26,IF(AND($G9="гладкий",OR($M9="J № 1",$M9="J № 2",$M9="J № 2L",$M9="J № 2R")),$N9*Прайс!$D$59,0)))))</f>
        <v>0</v>
      </c>
      <c r="S9" s="192" t="str">
        <f>IF(OR(Бланк!$O26=0,Бланк!$O26=""),"",1)</f>
        <v/>
      </c>
      <c r="T9" s="192" t="str">
        <f>IF(Бланк!$R26="","",Бланк!$R26)</f>
        <v/>
      </c>
      <c r="U9" s="192" t="str">
        <f>IF(Бланк!$S26="","",Бланк!$S26)</f>
        <v/>
      </c>
      <c r="V9" s="192" t="str">
        <f>IF(Бланк!$T26="","",Бланк!$T26)</f>
        <v/>
      </c>
      <c r="W9" s="196" t="str">
        <f>IF(Бланк!$W26="","",Бланк!$W26)</f>
        <v/>
      </c>
      <c r="X9" s="197" t="str">
        <f>IF(Бланк!AB26="","",Бланк!AB26)</f>
        <v/>
      </c>
      <c r="Y9" s="197" t="str">
        <f>IF(Бланк!AC26="","",Бланк!AC26)</f>
        <v/>
      </c>
      <c r="Z9" s="195">
        <f>IF($G9="Гладкий",IF(OR($C9=0,$C9=""),0,IF(AND(OR($V9="Перли",$V9="Металік",$V9="Перл.зол.",$V9="Перл.ср.",$V9="Перл.зол.",$V9="Зор.н.ср.",$V9="Зор.н.зол.",$V9="Зор.н.різн.",$V9="Гума"),OR($F9=4,$F9=6,$F9=8,$F9=10,$F9=16)),$AI9*Прайс!$D$12,IF(AND(OR($V9="",$V9=0),$X9="Матове",OR($F9=4,$F9=6,$F9=8,$F9=10,$F9=16)),$AI9*Прайс!$D$10,IF(AND(OR($V9="",$V9=0),$X9="Глянець",OR($F9=4,$F9=6,$F9=8,$F9=10,$F9=16)),$AI9*Прайс!$D$11,IF(AND(OR($V9="",$V9=0),$X9="Софт(TS)",OR($F9=4,$F9=6,$F9=8,$F9=10,$F9=16)),$AI9*Прайс!#REF!,0))))),0)+IF($G9="Гладкий",0,IF(AND(OR($V9="Перли",$V9="Металік",$V9="Перл.зол.",$V9="Перл.ср.",$V9="Перл.зол.",$V9="Зор.н.ср.",$V9="Зор.н.зол.",$V9="Зор.н.різн.",$V9="Гума"),OR($F9=4,$F9=6,$F9=8,$F9=10,$F9=16),$H9=1),Просчет!$AI9*Прайс!$D$76,IF(AND(OR($V9="",$V9=0),$X9="Матове",OR($F9=4,$F9=6,$F9=8,$F9=10,$F9=16),$H9=1),Просчет!$AI9*Прайс!$D$73,IF(AND(OR($V9="",$V9=0),$X9="Глянець",OR($F9=4,$F9=6,$F9=8,$F9=10,$F9=16),$H9=1),Просчет!$AI9*Прайс!$D$75,IF(AND(OR($V9="",$V9=0),$G9="Софт(TS)",OR($F9=4,$F9=6,$F9=8,$F9=10,$F9=16),$H9=1),$AI9*Прайс!$D$74,IF(AND(OR($V9="",$V9=0),$X9="Матове покриття з патиною",OR($F9=4,$F9=6,$F9=8,$F9=10,$F9=16),$H9=1),$AI9*Прайс!$D$77,IF(AND(OR($V9="",$V9=0),$X9="Глянцеве покриття з патиною",OR($F9=4,$F9=6,$F9=8,$F9=10,$F9=16),$H9=1),$AI9*Прайс!$D$78,IF(AND(OR($V9="",$V9=0),$X9="Матовий DECAPE",OR($F9=4,$F9=6,$F9=8,$F9=10,$F9=16),$H9=1),$AI9*Прайс!$D$79,IF(AND(OR($V9="",$V9=0),$X9="Глянцевий DECAPE",OR($F9=4,$F9=6,$F9=8,$F9=10,$F9=16),$H9=1),$AI9*Прайс!$D$80,0)))))))))+IF($G9="Гладкий",0,IF(AND(OR($V9="Перли",$V9="Металік",$V9="Перл.зол.",$V9="Перл.ср.",$V9="Перл.зол.",$V9="Зор.н.ср.",$V9="Зор.н.зол.",$V9="Зор.н.різн.",$V9="Гума"),OR($F9=4,$F9=6,$F9=8,$F9=10,$F9=16),$H9=2),$AI9*Прайс!$E$76,IF(AND(OR($V9="",$V9=0),$X9="Матове",OR($F9=4,$F9=6,$F9=8,$F9=10,$F9=16),$H9=2),Просчет!$AI9*Прайс!$E$73,IF(AND(OR($V9="",$V9=0),$X9="Глянець",OR($F9=4,$F9=6,$F9=8,$F9=10,$F9=16),$H9=2),$AI9*Прайс!$E$75,IF(AND(OR($V9="",$V9=0),$X9="Софт(TS)",OR($F9=4,$F9=6,$F9=8,$F9=10,$F9=16),$H9=2),$AI9*Прайс!$E$74,IF(AND(OR($V9="",$V9=0),$X9="Матове покриття з патиною",OR($F9=4,$F9=6,$F9=8,$F9=10,$F9=16),$H9=2),$AI9*Прайс!$E$77,IF(AND(OR($V9="",$V9=0),$X9="Глянцеве покриття з патиною",OR($F9=4,$F9=6,$F9=8,$F9=10,$F9=16),$H9=2),$AI9*Прайс!$E$78,IF(AND(OR($V9="",$V9=0),$X9="Матовий DECAPE",OR($F9=4,$F9=6,$F9=8,$F9=10,$F9=16),$H9=2),$AI9*Прайс!$E$79,IF(AND(OR($V9="",$V9=0),$X9="Глянцевий DECAPE",OR($F9=4,$F9=6,$F9=8,$F9=10,$F9=16),$H9=2),$AI9*Прайс!$E$80,0)))))))))+IF(AND($S9=1,OR($H9=1,$H9=0),$X9=Наименование!$L$12,OR($F9=4,$F9=6,$F9=8,$F9=10,$F9=16)),$AI9*Прайс!$D$89,IF(AND($S9=1,OR($H9=1,$H9=0),$X9=Наименование!$L$13,OR($F9=4,$F9=6,$F9=8,$F9=10,$F9=16)),$AI9*Прайс!$D$90,IF(AND($S9=1,OR($H9=1,$H9=0),$X9=Наименование!$L19,OR($F9=4,$F9=6,$F9=8,$F9=10,$F9=16)),$AI9*Прайс!$D$91,IF(AND($S9=1,OR($H9=1,$H9=0),$X9=Наименование!$L$15,OR($F9=4,$F9=6,$F9=8,$F9=10,$F9=16)),$AI9*Прайс!$D$92,0))))+IF(AND($S9=1,$H9=2,$X9=Наименование!$L$12,OR($F9=4,$F9=6,$F9=8,$F9=10,$F9=16)),$AI9*Прайс!$E$89,IF(AND($S9=1,$H9=2,$X9=Наименование!$L$13,OR($F9=4,$F9=6,$F9=8,$F9=10,$F9=16)),$AI9*Прайс!$E$90,IF(AND($S9=1,$H9=2,$X9=Наименование!$L$14,OR($F9=4,$F9=6,$F9=8,$F9=10,$F9=16)),$AI9*Прайс!$E$91,IF(AND($S9=1,$H9=2,$X9=Наименование!$L$15,OR($F9=4,$F9=6,$F9=8,$F9=10,$F9=16)),$AI9*Прайс!$E$92))))</f>
        <v>0</v>
      </c>
      <c r="AA9" s="195">
        <f>IF($G9="Гладкий",IF(OR($C9=0,$C9=""),0,IF(AND(OR($V9="Перли",$V9="Металік",$V9="Перл.зол.",$V9="Перл.ср.",$V9="Перл.зол.",$V9="Зор.н.ср.",$V9="Зор.н.зол.",$V9="Зор.н.різн.",$V9="Гума"),$F9=19),$AI9*Прайс!$E$12,IF(AND(OR($V9="",$V9=0),$X9="Матове",$F9=19),$AI9*Прайс!$E$10,IF(AND(OR($V9="",$V9=0),$X9="Глянець",$F9=19),$AI9*Прайс!$E$11,IF(AND(OR($V9="",$V9=0),$X9="Софт(TS)",$F9=19),$AI9*Прайс!#REF!,0))))),0)+IF($G9="Гладкий",0,IF(AND(OR($V9="Перли",$V9="Металік",$V9="Перл.зол.",$V9="Перл.ср.",$V9="Перл.зол.",$V9="Зор.н.ср.",$V9="Зор.н.зол.",$V9="Зор.н.різн.",$V9="Гума"),$F9=19,$H9=1),Просчет!$AI9*Прайс!$F$76,IF(AND(OR($V9="",$V9=0),$X9="Матове",$F9=19,$H9=1),Просчет!$AI9*Прайс!$F$73,IF(AND(OR($V9="",$V9=0),$X9="Глянець",$F9=19,$H9=1),Просчет!$AI9*Прайс!$F$75,IF(AND(OR($V9="",$V9=0),$G9="Софт(TS)",$F9=19,$H9=1),$AI9*Прайс!$F$74,IF(AND(OR($V9="",$V9=0),$X9="Матове покриття з патиною",$F9=19,$H9=1),$AI9*Прайс!$F$77,IF(AND(OR($V9="",$V9=0),$X9="Глянцеве покриття з патиною",$F9=19,$H9=1),$AI9*Прайс!$F$78,IF(AND(OR($V9="",$V9=0),$X9="Матовий DECAPE",$F9=19,$H9=1),$AI9*Прайс!$F$79,IF(AND(OR($V9="",$V9=0),$X9="Глянцевий DECAPE",$F9=19,$H9=1),$AI9*Прайс!$F$80,0)))))))))+IF($G9="Гладкий",0,IF(AND(OR($V9="Перли",$V9="Металік",$V9="Перл.зол.",$V9="Перл.ср.",$V9="Перл.зол.",$V9="Зор.н.ср.",$V9="Зор.н.зол.",$V9="Зор.н.різн.",$V9="Гума"),$F9=19,$H9=2),$AI9*Прайс!$G$76,IF(AND(OR($V9="",$V9=0),$X9="Матове",$F9=19,$H9=2),Просчет!$AI9*Прайс!$G$73,IF(AND(OR($V9="",$V9=0),$X9="Глянець",$F9=19,$H9=2),$AI9*Прайс!$G$75,IF(AND(OR($V9="",$V9=0),$X9="Софт(TS)",$F9=19,$H9=2),$AI9*Прайс!$G$74,IF(AND(OR($V9="",$V9=0),$X9="Матове покриття з патиною",$F9=19,$H9=2),$AI9*Прайс!$G$77,IF(AND(OR($V9="",$V9=0),$X9="Глянцеве покриття з патиною",$F9=19,$H9=2),$AI9*Прайс!$G$78,IF(AND(OR($V9="",$V9=0),$X9="Матовий DECAPE",$F9=19,$H9=2),$AI9*Прайс!$G$79,IF(AND(OR($V9="",$V9=0),$X9="Глянцевий DECAPE",$F9=19,$H9=2),$AI9*Прайс!$G$78,0)))))))))+IF(AND($S9=1,OR($H9=1,$H9=0),$X9=Наименование!$L$12,$F9=19),$AI9*Прайс!$F$89,IF(AND($S9=1,OR($H9=1,$H9=0),$X9=Наименование!$L$13,$F9=19),$AI9*Прайс!$F$90,IF(AND($S9=1,OR($H9=1,$H9=0),$X9=Наименование!$L19,$F9=19),$AI9*Прайс!$F$91,IF(AND($S9=1,OR($H9=1,$H9=0),$X9=Наименование!$L$15,$F9=19),$AI9*Прайс!$F$92,0))))+IF(AND($S9=1,$H9=2,$X9=Наименование!$L$12,$F9=19),$AI9*Прайс!$G$89,IF(AND($S9=1,$H9=2,$X9=Наименование!$L$13,$F9=19),$AI9*Прайс!$G$90,IF(AND($S9=1,$H9=2,$X9=Наименование!$L$14,$F9=19),$AI9*Прайс!$G$91,IF(AND($S9=1,$H9=2,$X9=Наименование!$L$15,$F9=19),$AI9*Прайс!$G$92))))</f>
        <v>0</v>
      </c>
      <c r="AB9" s="195">
        <f>IF($G9="Гладкий",IF(OR($C9=0,$C9=""),0,IF($Y9="Матове",$AI9*(Прайс!$D$10-500),IF($Y9="Глянець",$AI9*(Прайс!$D$11-500),IF($Y9="Софт(TS)",$AI9*(Прайс!#REF!-500),0)))),0)+IF($G9="Гладкий",0,IF(AND($Y9="Матове",$H9=1),$AI9*Прайс!$D$73*0.5,IF(AND($Y9="Глянець",$H9=1),$AI9*Прайс!$D$75*0.5,IF(AND($Y9="Софт(TS)",$H9=1),$AI9*Прайс!$D$74*0.5,IF(AND($Y9="Матове покриття з патиною",$H9=1),$AI9*Прайс!$D$77*0.5,IF(AND($Y9="Глянцеве покриття з патиною",$H9=1),$AI9*Прайс!$D$78*0.5,IF(AND($Y9="Матовий DECAPE",$H9=1),$AI9*Прайс!$D$79*0.5,IF(AND($Y9="Глянцевий DECAPE",$H9=1),$AI9*Прайс!$D$80*0.5,0))))))))+IF($G9="Гладкий",0,IF(AND($Y9="Матове",$H9=2),$AI9*Прайс!$E$73*0.5,IF(AND($Y9="Глянець",$H9=2),$AI9*Прайс!$E$75*0.5,IF(AND($Y9="Софт(TS)",$H9=2),$AI9*Прайс!$E$74*0.5,IF(AND($Y9="Матове покриття з патиною",$H9=2),$AI9*Прайс!$E$77*0.5,IF(AND($Y9="Глянцеве покриття з патиною",$H9=2),$AI9*Прайс!$E$78*0.5,IF(AND($Y9="Матовий DECAPE",$H9=2),$AI9*Прайс!$E$79*0.5,IF(AND($Y9="Глянцевий DECAPE",$H9=2),$AI9*Прайс!$E$80*0.5,0)))))))+IF(AND($S9=1,OR($H9=1,$H9=0),$Y9=Прайс!$C$89),$AI9*[1]Прайс!$D$74*0.5,IF(AND($S9=1,OR($H9=1,$H9=0),$Y9=Прайс!$C$90),$AI9*Прайс!$D$90*0.5,IF(AND($S9=1,OR($H9=1,$H9=0),$Y9=Прайс!$C$91),$AI9*Прайс!$D$91*0.5,IF(AND($S9=1,OR($H9=1,$H9=0),$Y9=Прайс!$C$92),$AI9*Прайс!$D$92*0.5,0))))+IF(AND($S9=1,$H9=2,$Y9=Прайс!$C$89),$AI9*Прайс!$E$89*0.5,IF(AND($S9=1,$H9=2,$Y9=Прайс!$C$90),$AI9*Прайс!$E$90*0.5,IF(AND($S9=1,$H9=2,$Y9=Прайс!$C$91),$AI9*Прайс!$E$91*0.5,IF(AND($S9=1,$H9=2,$Y9=Прайс!$C$92),$AI9*Прайс!$E$92*0.5,0)))))</f>
        <v>0</v>
      </c>
      <c r="AC9" s="197" t="str">
        <f>IF(Бланк!AD26="","",Бланк!AD26*E9)</f>
        <v/>
      </c>
      <c r="AD9" s="195">
        <f>IF(OR($AC9=0,$AC9=""),0,$AC9*Прайс!$D$111)</f>
        <v>0</v>
      </c>
      <c r="AE9" s="197" t="str">
        <f>IF(Бланк!AE26="","",Бланк!AE26)</f>
        <v/>
      </c>
      <c r="AF9" s="197" t="str">
        <f>IF(Бланк!AF26="","",Бланк!AF26)</f>
        <v/>
      </c>
      <c r="AG9" s="197" t="str">
        <f>IF(Бланк!AG26="","",Бланк!AG26)</f>
        <v/>
      </c>
      <c r="AH9" s="197" t="str">
        <f>IF(Бланк!AH26="","",Бланк!AH26)</f>
        <v/>
      </c>
      <c r="AI9" s="139">
        <f>IF(Бланк!$AI26="","",Бланк!$AI26)</f>
        <v>0</v>
      </c>
      <c r="AJ9" s="198"/>
      <c r="AK9" s="198"/>
      <c r="AL9" s="198"/>
      <c r="AM9" s="199"/>
      <c r="AN9" s="199"/>
      <c r="AO9" s="199"/>
      <c r="AP9" s="199"/>
      <c r="AQ9" s="200"/>
    </row>
    <row r="10" spans="1:45" s="202" customFormat="1" ht="21" customHeight="1" x14ac:dyDescent="0.3">
      <c r="B10" s="201">
        <v>7</v>
      </c>
      <c r="C10" s="192" t="str">
        <f>IF(Бланк!$C27="","",Бланк!$C27/1000)</f>
        <v/>
      </c>
      <c r="D10" s="192" t="str">
        <f>IF(Бланк!$D27="","",Бланк!$D27/1000)</f>
        <v/>
      </c>
      <c r="E10" s="192" t="str">
        <f>IF(Бланк!$E27="","",Бланк!$E27)</f>
        <v/>
      </c>
      <c r="F10" s="192" t="str">
        <f>IF(Бланк!$F27="","",Бланк!$F27)</f>
        <v/>
      </c>
      <c r="G10" s="192" t="str">
        <f>IF(Бланк!$G27="","",Бланк!$G27)</f>
        <v/>
      </c>
      <c r="H10" s="193" t="str">
        <f>IF($G10="","",VLOOKUP($G10,Наименование!$M$42:$N$95,2,FALSE))</f>
        <v/>
      </c>
      <c r="I10" s="192" t="str">
        <f>IF(Бланк!$H27="","",Бланк!$H27)</f>
        <v/>
      </c>
      <c r="J10" s="192" t="str">
        <f>IF(Бланк!$I27="","",Бланк!$I27)</f>
        <v/>
      </c>
      <c r="K10" s="194" t="str">
        <f>IF(OR($J10="",$J10=0),"",IF($J10="Пряма з чвертю",(Прайс!$D$106+Прайс!$D$109)*Просчет!$E10,IF($J10="Пряма без чверті",Прайс!$D$106*Просчет!$E10,IF(AND($J10="Шпрос з чвертю",OR($C10&lt;1,$C10=1)),(Прайс!$D$37+Прайс!$D$40)*Просчет!$E10,IF(AND($J10="Шпрос з чвертю",$C10&gt;1),(Прайс!$F$37+Прайс!$D$40)*Просчет!$E10,IF(AND($J10="Шпрос без чверті",OR($C10&lt;1,$C10=1)),Прайс!$D$37*Просчет!$E10,IF(AND($J10="Шпрос без чверті",$C10&gt;1),Прайс!$F$37*Просчет!$E10,"")))))))</f>
        <v/>
      </c>
      <c r="L10" s="192" t="str">
        <f>IF(Бланк!$J27="","",Бланк!$J27/1000)</f>
        <v/>
      </c>
      <c r="M10" s="192" t="str">
        <f>IF(Бланк!$K27="","",Бланк!$K27)</f>
        <v/>
      </c>
      <c r="N10" s="195">
        <f t="shared" si="0"/>
        <v>0</v>
      </c>
      <c r="O10" s="194">
        <f>IF($G10="гладкий",IF($M10="","",IF(OR($M10="J № 1",$M10="J № 2",$M10="J № 2L",$M10="J № 2R",$M10="AJ № 2",$M10="AJ № 2L",$M10="AJ № 2R",$M10="U",$M10="V"),$N10*Прайс!$D$43,IF(OR($M10="AJ № 3R",$M10="AJ № 4R",$M10="AJ № 5R",$M10="AJ № 3L",$M10="AJ № 4L",$M10="AJ № 5L",$M10="AJ № 3",$M10="AJ № 4",$M10="AJ № 5",$M10="J № 3",$M10="J № 4",$M10="J № 5",$M10="J № 6",$M10="J № 7",$M10="L",$M10="AL"),Прайс!$D$43*$E10,IF(OR($M10="J № 3L",$M10="J № 3R",$M10="J № 4L",$M10="J № 4R",$M10="J № 5L",$M10="J № 5R"),$N10/2*Прайс!$D$47*$E10,IF($M10="45 град.",$N10*Прайс!$D$42,0))))),0)</f>
        <v>0</v>
      </c>
      <c r="P10" s="192" t="str">
        <f>IF(Бланк!$L27="","",Бланк!$L27)</f>
        <v/>
      </c>
      <c r="Q10" s="192" t="str">
        <f>IF(Бланк!$M27="","",Бланк!$M27)</f>
        <v/>
      </c>
      <c r="R10" s="194">
        <f>IF($P10="",0,IF($Q10=$U10,0,IF($Q10="",0,IF(OR($G10=35,$G10=36,$G10=37,$G10=38),Прайс!$D$118*Бланк!E27,IF(AND($G10="гладкий",OR($M10="J № 1",$M10="J № 2",$M10="J № 2L",$M10="J № 2R")),$N10*Прайс!$D$59,0)))))</f>
        <v>0</v>
      </c>
      <c r="S10" s="192" t="str">
        <f>IF(OR(Бланк!$O27=0,Бланк!$O27=""),"",1)</f>
        <v/>
      </c>
      <c r="T10" s="192" t="str">
        <f>IF(Бланк!$R27="","",Бланк!$R27)</f>
        <v/>
      </c>
      <c r="U10" s="192" t="str">
        <f>IF(Бланк!$S27="","",Бланк!$S27)</f>
        <v/>
      </c>
      <c r="V10" s="192" t="str">
        <f>IF(Бланк!$T27="","",Бланк!$T27)</f>
        <v/>
      </c>
      <c r="W10" s="196" t="str">
        <f>IF(Бланк!$W27="","",Бланк!$W27)</f>
        <v/>
      </c>
      <c r="X10" s="197" t="str">
        <f>IF(Бланк!AB27="","",Бланк!AB27)</f>
        <v/>
      </c>
      <c r="Y10" s="197" t="str">
        <f>IF(Бланк!AC27="","",Бланк!AC27)</f>
        <v/>
      </c>
      <c r="Z10" s="195">
        <f>IF($G10="Гладкий",IF(OR($C10=0,$C10=""),0,IF(AND(OR($V10="Перли",$V10="Металік",$V10="Перл.зол.",$V10="Перл.ср.",$V10="Перл.зол.",$V10="Зор.н.ср.",$V10="Зор.н.зол.",$V10="Зор.н.різн.",$V10="Гума"),OR($F10=4,$F10=6,$F10=8,$F10=10,$F10=16)),$AI10*Прайс!$D$12,IF(AND(OR($V10="",$V10=0),$X10="Матове",OR($F10=4,$F10=6,$F10=8,$F10=10,$F10=16)),$AI10*Прайс!$D$10,IF(AND(OR($V10="",$V10=0),$X10="Глянець",OR($F10=4,$F10=6,$F10=8,$F10=10,$F10=16)),$AI10*Прайс!$D$11,IF(AND(OR($V10="",$V10=0),$X10="Софт(TS)",OR($F10=4,$F10=6,$F10=8,$F10=10,$F10=16)),$AI10*Прайс!#REF!,0))))),0)+IF($G10="Гладкий",0,IF(AND(OR($V10="Перли",$V10="Металік",$V10="Перл.зол.",$V10="Перл.ср.",$V10="Перл.зол.",$V10="Зор.н.ср.",$V10="Зор.н.зол.",$V10="Зор.н.різн.",$V10="Гума"),OR($F10=4,$F10=6,$F10=8,$F10=10,$F10=16),$H10=1),Просчет!$AI10*Прайс!$D$76,IF(AND(OR($V10="",$V10=0),$X10="Матове",OR($F10=4,$F10=6,$F10=8,$F10=10,$F10=16),$H10=1),Просчет!$AI10*Прайс!$D$73,IF(AND(OR($V10="",$V10=0),$X10="Глянець",OR($F10=4,$F10=6,$F10=8,$F10=10,$F10=16),$H10=1),Просчет!$AI10*Прайс!$D$75,IF(AND(OR($V10="",$V10=0),$G10="Софт(TS)",OR($F10=4,$F10=6,$F10=8,$F10=10,$F10=16),$H10=1),$AI10*Прайс!$D$74,IF(AND(OR($V10="",$V10=0),$X10="Матове покриття з патиною",OR($F10=4,$F10=6,$F10=8,$F10=10,$F10=16),$H10=1),$AI10*Прайс!$D$77,IF(AND(OR($V10="",$V10=0),$X10="Глянцеве покриття з патиною",OR($F10=4,$F10=6,$F10=8,$F10=10,$F10=16),$H10=1),$AI10*Прайс!$D$78,IF(AND(OR($V10="",$V10=0),$X10="Матовий DECAPE",OR($F10=4,$F10=6,$F10=8,$F10=10,$F10=16),$H10=1),$AI10*Прайс!$D$79,IF(AND(OR($V10="",$V10=0),$X10="Глянцевий DECAPE",OR($F10=4,$F10=6,$F10=8,$F10=10,$F10=16),$H10=1),$AI10*Прайс!$D$80,0)))))))))+IF($G10="Гладкий",0,IF(AND(OR($V10="Перли",$V10="Металік",$V10="Перл.зол.",$V10="Перл.ср.",$V10="Перл.зол.",$V10="Зор.н.ср.",$V10="Зор.н.зол.",$V10="Зор.н.різн.",$V10="Гума"),OR($F10=4,$F10=6,$F10=8,$F10=10,$F10=16),$H10=2),$AI10*Прайс!$E$76,IF(AND(OR($V10="",$V10=0),$X10="Матове",OR($F10=4,$F10=6,$F10=8,$F10=10,$F10=16),$H10=2),Просчет!$AI10*Прайс!$E$73,IF(AND(OR($V10="",$V10=0),$X10="Глянець",OR($F10=4,$F10=6,$F10=8,$F10=10,$F10=16),$H10=2),$AI10*Прайс!$E$75,IF(AND(OR($V10="",$V10=0),$X10="Софт(TS)",OR($F10=4,$F10=6,$F10=8,$F10=10,$F10=16),$H10=2),$AI10*Прайс!$E$74,IF(AND(OR($V10="",$V10=0),$X10="Матове покриття з патиною",OR($F10=4,$F10=6,$F10=8,$F10=10,$F10=16),$H10=2),$AI10*Прайс!$E$77,IF(AND(OR($V10="",$V10=0),$X10="Глянцеве покриття з патиною",OR($F10=4,$F10=6,$F10=8,$F10=10,$F10=16),$H10=2),$AI10*Прайс!$E$78,IF(AND(OR($V10="",$V10=0),$X10="Матовий DECAPE",OR($F10=4,$F10=6,$F10=8,$F10=10,$F10=16),$H10=2),$AI10*Прайс!$E$79,IF(AND(OR($V10="",$V10=0),$X10="Глянцевий DECAPE",OR($F10=4,$F10=6,$F10=8,$F10=10,$F10=16),$H10=2),$AI10*Прайс!$E$80,0)))))))))+IF(AND($S10=1,OR($H10=1,$H10=0),$X10=Наименование!$L$12,OR($F10=4,$F10=6,$F10=8,$F10=10,$F10=16)),$AI10*Прайс!$D$89,IF(AND($S10=1,OR($H10=1,$H10=0),$X10=Наименование!$L$13,OR($F10=4,$F10=6,$F10=8,$F10=10,$F10=16)),$AI10*Прайс!$D$90,IF(AND($S10=1,OR($H10=1,$H10=0),$X10=Наименование!$L20,OR($F10=4,$F10=6,$F10=8,$F10=10,$F10=16)),$AI10*Прайс!$D$91,IF(AND($S10=1,OR($H10=1,$H10=0),$X10=Наименование!$L$15,OR($F10=4,$F10=6,$F10=8,$F10=10,$F10=16)),$AI10*Прайс!$D$92,0))))+IF(AND($S10=1,$H10=2,$X10=Наименование!$L$12,OR($F10=4,$F10=6,$F10=8,$F10=10,$F10=16)),$AI10*Прайс!$E$89,IF(AND($S10=1,$H10=2,$X10=Наименование!$L$13,OR($F10=4,$F10=6,$F10=8,$F10=10,$F10=16)),$AI10*Прайс!$E$90,IF(AND($S10=1,$H10=2,$X10=Наименование!$L$14,OR($F10=4,$F10=6,$F10=8,$F10=10,$F10=16)),$AI10*Прайс!$E$91,IF(AND($S10=1,$H10=2,$X10=Наименование!$L$15,OR($F10=4,$F10=6,$F10=8,$F10=10,$F10=16)),$AI10*Прайс!$E$92))))</f>
        <v>0</v>
      </c>
      <c r="AA10" s="195">
        <f>IF($G10="Гладкий",IF(OR($C10=0,$C10=""),0,IF(AND(OR($V10="Перли",$V10="Металік",$V10="Перл.зол.",$V10="Перл.ср.",$V10="Перл.зол.",$V10="Зор.н.ср.",$V10="Зор.н.зол.",$V10="Зор.н.різн.",$V10="Гума"),$F10=19),$AI10*Прайс!$E$12,IF(AND(OR($V10="",$V10=0),$X10="Матове",$F10=19),$AI10*Прайс!$E$10,IF(AND(OR($V10="",$V10=0),$X10="Глянець",$F10=19),$AI10*Прайс!$E$11,IF(AND(OR($V10="",$V10=0),$X10="Софт(TS)",$F10=19),$AI10*Прайс!#REF!,0))))),0)+IF($G10="Гладкий",0,IF(AND(OR($V10="Перли",$V10="Металік",$V10="Перл.зол.",$V10="Перл.ср.",$V10="Перл.зол.",$V10="Зор.н.ср.",$V10="Зор.н.зол.",$V10="Зор.н.різн.",$V10="Гума"),$F10=19,$H10=1),Просчет!$AI10*Прайс!$F$76,IF(AND(OR($V10="",$V10=0),$X10="Матове",$F10=19,$H10=1),Просчет!$AI10*Прайс!$F$73,IF(AND(OR($V10="",$V10=0),$X10="Глянець",$F10=19,$H10=1),Просчет!$AI10*Прайс!$F$75,IF(AND(OR($V10="",$V10=0),$G10="Софт(TS)",$F10=19,$H10=1),$AI10*Прайс!$F$74,IF(AND(OR($V10="",$V10=0),$X10="Матове покриття з патиною",$F10=19,$H10=1),$AI10*Прайс!$F$77,IF(AND(OR($V10="",$V10=0),$X10="Глянцеве покриття з патиною",$F10=19,$H10=1),$AI10*Прайс!$F$78,IF(AND(OR($V10="",$V10=0),$X10="Матовий DECAPE",$F10=19,$H10=1),$AI10*Прайс!$F$79,IF(AND(OR($V10="",$V10=0),$X10="Глянцевий DECAPE",$F10=19,$H10=1),$AI10*Прайс!$F$80,0)))))))))+IF($G10="Гладкий",0,IF(AND(OR($V10="Перли",$V10="Металік",$V10="Перл.зол.",$V10="Перл.ср.",$V10="Перл.зол.",$V10="Зор.н.ср.",$V10="Зор.н.зол.",$V10="Зор.н.різн.",$V10="Гума"),$F10=19,$H10=2),$AI10*Прайс!$G$76,IF(AND(OR($V10="",$V10=0),$X10="Матове",$F10=19,$H10=2),Просчет!$AI10*Прайс!$G$73,IF(AND(OR($V10="",$V10=0),$X10="Глянець",$F10=19,$H10=2),$AI10*Прайс!$G$75,IF(AND(OR($V10="",$V10=0),$X10="Софт(TS)",$F10=19,$H10=2),$AI10*Прайс!$G$74,IF(AND(OR($V10="",$V10=0),$X10="Матове покриття з патиною",$F10=19,$H10=2),$AI10*Прайс!$G$77,IF(AND(OR($V10="",$V10=0),$X10="Глянцеве покриття з патиною",$F10=19,$H10=2),$AI10*Прайс!$G$78,IF(AND(OR($V10="",$V10=0),$X10="Матовий DECAPE",$F10=19,$H10=2),$AI10*Прайс!$G$79,IF(AND(OR($V10="",$V10=0),$X10="Глянцевий DECAPE",$F10=19,$H10=2),$AI10*Прайс!$G$78,0)))))))))+IF(AND($S10=1,OR($H10=1,$H10=0),$X10=Наименование!$L$12,$F10=19),$AI10*Прайс!$F$89,IF(AND($S10=1,OR($H10=1,$H10=0),$X10=Наименование!$L$13,$F10=19),$AI10*Прайс!$F$90,IF(AND($S10=1,OR($H10=1,$H10=0),$X10=Наименование!$L20,$F10=19),$AI10*Прайс!$F$91,IF(AND($S10=1,OR($H10=1,$H10=0),$X10=Наименование!$L$15,$F10=19),$AI10*Прайс!$F$92,0))))+IF(AND($S10=1,$H10=2,$X10=Наименование!$L$12,$F10=19),$AI10*Прайс!$G$89,IF(AND($S10=1,$H10=2,$X10=Наименование!$L$13,$F10=19),$AI10*Прайс!$G$90,IF(AND($S10=1,$H10=2,$X10=Наименование!$L$14,$F10=19),$AI10*Прайс!$G$91,IF(AND($S10=1,$H10=2,$X10=Наименование!$L$15,$F10=19),$AI10*Прайс!$G$92))))</f>
        <v>0</v>
      </c>
      <c r="AB10" s="195">
        <f>IF($G10="Гладкий",IF(OR($C10=0,$C10=""),0,IF($Y10="Матове",$AI10*(Прайс!$D$10-500),IF($Y10="Глянець",$AI10*(Прайс!$D$11-500),IF($Y10="Софт(TS)",$AI10*(Прайс!#REF!-500),0)))),0)+IF($G10="Гладкий",0,IF(AND($Y10="Матове",$H10=1),$AI10*Прайс!$D$73*0.5,IF(AND($Y10="Глянець",$H10=1),$AI10*Прайс!$D$75*0.5,IF(AND($Y10="Софт(TS)",$H10=1),$AI10*Прайс!$D$74*0.5,IF(AND($Y10="Матове покриття з патиною",$H10=1),$AI10*Прайс!$D$77*0.5,IF(AND($Y10="Глянцеве покриття з патиною",$H10=1),$AI10*Прайс!$D$78*0.5,IF(AND($Y10="Матовий DECAPE",$H10=1),$AI10*Прайс!$D$79*0.5,IF(AND($Y10="Глянцевий DECAPE",$H10=1),$AI10*Прайс!$D$80*0.5,0))))))))+IF($G10="Гладкий",0,IF(AND($Y10="Матове",$H10=2),$AI10*Прайс!$E$73*0.5,IF(AND($Y10="Глянець",$H10=2),$AI10*Прайс!$E$75*0.5,IF(AND($Y10="Софт(TS)",$H10=2),$AI10*Прайс!$E$74*0.5,IF(AND($Y10="Матове покриття з патиною",$H10=2),$AI10*Прайс!$E$77*0.5,IF(AND($Y10="Глянцеве покриття з патиною",$H10=2),$AI10*Прайс!$E$78*0.5,IF(AND($Y10="Матовий DECAPE",$H10=2),$AI10*Прайс!$E$79*0.5,IF(AND($Y10="Глянцевий DECAPE",$H10=2),$AI10*Прайс!$E$80*0.5,0)))))))+IF(AND($S10=1,OR($H10=1,$H10=0),$Y10=Прайс!$C$89),$AI10*[1]Прайс!$D$74*0.5,IF(AND($S10=1,OR($H10=1,$H10=0),$Y10=Прайс!$C$90),$AI10*Прайс!$D$90*0.5,IF(AND($S10=1,OR($H10=1,$H10=0),$Y10=Прайс!$C$91),$AI10*Прайс!$D$91*0.5,IF(AND($S10=1,OR($H10=1,$H10=0),$Y10=Прайс!$C$92),$AI10*Прайс!$D$92*0.5,0))))+IF(AND($S10=1,$H10=2,$Y10=Прайс!$C$89),$AI10*Прайс!$E$89*0.5,IF(AND($S10=1,$H10=2,$Y10=Прайс!$C$90),$AI10*Прайс!$E$90*0.5,IF(AND($S10=1,$H10=2,$Y10=Прайс!$C$91),$AI10*Прайс!$E$91*0.5,IF(AND($S10=1,$H10=2,$Y10=Прайс!$C$92),$AI10*Прайс!$E$92*0.5,0)))))</f>
        <v>0</v>
      </c>
      <c r="AC10" s="197" t="str">
        <f>IF(Бланк!AD27="","",Бланк!AD27*E10)</f>
        <v/>
      </c>
      <c r="AD10" s="195">
        <f>IF(OR($AC10=0,$AC10=""),0,$AC10*Прайс!$D$111)</f>
        <v>0</v>
      </c>
      <c r="AE10" s="197" t="str">
        <f>IF(Бланк!AE27="","",Бланк!AE27)</f>
        <v/>
      </c>
      <c r="AF10" s="197" t="str">
        <f>IF(Бланк!AF27="","",Бланк!AF27)</f>
        <v/>
      </c>
      <c r="AG10" s="197" t="str">
        <f>IF(Бланк!AG27="","",Бланк!AG27)</f>
        <v/>
      </c>
      <c r="AH10" s="197" t="str">
        <f>IF(Бланк!AH27="","",Бланк!AH27)</f>
        <v/>
      </c>
      <c r="AI10" s="139">
        <f>IF(Бланк!$AI27="","",Бланк!$AI27)</f>
        <v>0</v>
      </c>
      <c r="AJ10" s="198"/>
      <c r="AK10" s="198"/>
      <c r="AL10" s="198"/>
      <c r="AM10" s="199"/>
      <c r="AN10" s="199"/>
      <c r="AO10" s="199"/>
      <c r="AP10" s="199"/>
      <c r="AQ10" s="200"/>
      <c r="AR10" s="190"/>
    </row>
    <row r="11" spans="1:45" s="202" customFormat="1" ht="21" customHeight="1" x14ac:dyDescent="0.3">
      <c r="B11" s="201">
        <v>8</v>
      </c>
      <c r="C11" s="192" t="str">
        <f>IF(Бланк!$C28="","",Бланк!$C28/1000)</f>
        <v/>
      </c>
      <c r="D11" s="192" t="str">
        <f>IF(Бланк!$D28="","",Бланк!$D28/1000)</f>
        <v/>
      </c>
      <c r="E11" s="192" t="str">
        <f>IF(Бланк!$E28="","",Бланк!$E28)</f>
        <v/>
      </c>
      <c r="F11" s="192" t="str">
        <f>IF(Бланк!$F28="","",Бланк!$F28)</f>
        <v/>
      </c>
      <c r="G11" s="192" t="str">
        <f>IF(Бланк!$G28="","",Бланк!$G28)</f>
        <v/>
      </c>
      <c r="H11" s="193" t="str">
        <f>IF($G11="","",VLOOKUP($G11,Наименование!$M$42:$N$95,2,FALSE))</f>
        <v/>
      </c>
      <c r="I11" s="192" t="str">
        <f>IF(Бланк!$H28="","",Бланк!$H28)</f>
        <v/>
      </c>
      <c r="J11" s="192" t="str">
        <f>IF(Бланк!$I28="","",Бланк!$I28)</f>
        <v/>
      </c>
      <c r="K11" s="194" t="str">
        <f>IF(OR($J11="",$J11=0),"",IF($J11="Пряма з чвертю",(Прайс!$D$106+Прайс!$D$109)*Просчет!$E11,IF($J11="Пряма без чверті",Прайс!$D$106*Просчет!$E11,IF(AND($J11="Шпрос з чвертю",OR($C11&lt;1,$C11=1)),(Прайс!$D$37+Прайс!$D$40)*Просчет!$E11,IF(AND($J11="Шпрос з чвертю",$C11&gt;1),(Прайс!$F$37+Прайс!$D$40)*Просчет!$E11,IF(AND($J11="Шпрос без чверті",OR($C11&lt;1,$C11=1)),Прайс!$D$37*Просчет!$E11,IF(AND($J11="Шпрос без чверті",$C11&gt;1),Прайс!$F$37*Просчет!$E11,"")))))))</f>
        <v/>
      </c>
      <c r="L11" s="192" t="str">
        <f>IF(Бланк!$J28="","",Бланк!$J28/1000)</f>
        <v/>
      </c>
      <c r="M11" s="192" t="str">
        <f>IF(Бланк!$K28="","",Бланк!$K28)</f>
        <v/>
      </c>
      <c r="N11" s="195">
        <f t="shared" si="0"/>
        <v>0</v>
      </c>
      <c r="O11" s="194">
        <f>IF($G11="гладкий",IF($M11="","",IF(OR($M11="J № 1",$M11="J № 2",$M11="J № 2L",$M11="J № 2R",$M11="AJ № 2",$M11="AJ № 2L",$M11="AJ № 2R",$M11="U",$M11="V"),$N11*Прайс!$D$43,IF(OR($M11="AJ № 3R",$M11="AJ № 4R",$M11="AJ № 5R",$M11="AJ № 3L",$M11="AJ № 4L",$M11="AJ № 5L",$M11="AJ № 3",$M11="AJ № 4",$M11="AJ № 5",$M11="J № 3",$M11="J № 4",$M11="J № 5",$M11="J № 6",$M11="J № 7",$M11="L",$M11="AL"),Прайс!$D$43*$E11,IF(OR($M11="J № 3L",$M11="J № 3R",$M11="J № 4L",$M11="J № 4R",$M11="J № 5L",$M11="J № 5R"),$N11/2*Прайс!$D$47*$E11,IF($M11="45 град.",$N11*Прайс!$D$42,0))))),0)</f>
        <v>0</v>
      </c>
      <c r="P11" s="192" t="str">
        <f>IF(Бланк!$L28="","",Бланк!$L28)</f>
        <v/>
      </c>
      <c r="Q11" s="192" t="str">
        <f>IF(Бланк!$M28="","",Бланк!$M28)</f>
        <v/>
      </c>
      <c r="R11" s="194">
        <f>IF($P11="",0,IF($Q11=$U11,0,IF($Q11="",0,IF(OR($G11=35,$G11=36,$G11=37,$G11=38),Прайс!$D$118*Бланк!E28,IF(AND($G11="гладкий",OR($M11="J № 1",$M11="J № 2",$M11="J № 2L",$M11="J № 2R")),$N11*Прайс!$D$59,0)))))</f>
        <v>0</v>
      </c>
      <c r="S11" s="192" t="str">
        <f>IF(OR(Бланк!$O28=0,Бланк!$O28=""),"",1)</f>
        <v/>
      </c>
      <c r="T11" s="192" t="str">
        <f>IF(Бланк!$R28="","",Бланк!$R28)</f>
        <v/>
      </c>
      <c r="U11" s="192" t="str">
        <f>IF(Бланк!$S28="","",Бланк!$S28)</f>
        <v/>
      </c>
      <c r="V11" s="192" t="str">
        <f>IF(Бланк!$T28="","",Бланк!$T28)</f>
        <v/>
      </c>
      <c r="W11" s="196" t="str">
        <f>IF(Бланк!$W28="","",Бланк!$W28)</f>
        <v/>
      </c>
      <c r="X11" s="197" t="str">
        <f>IF(Бланк!AB28="","",Бланк!AB28)</f>
        <v/>
      </c>
      <c r="Y11" s="197" t="str">
        <f>IF(Бланк!AC28="","",Бланк!AC28)</f>
        <v/>
      </c>
      <c r="Z11" s="195">
        <f>IF($G11="Гладкий",IF(OR($C11=0,$C11=""),0,IF(AND(OR($V11="Перли",$V11="Металік",$V11="Перл.зол.",$V11="Перл.ср.",$V11="Перл.зол.",$V11="Зор.н.ср.",$V11="Зор.н.зол.",$V11="Зор.н.різн.",$V11="Гума"),OR($F11=4,$F11=6,$F11=8,$F11=10,$F11=16)),$AI11*Прайс!$D$12,IF(AND(OR($V11="",$V11=0),$X11="Матове",OR($F11=4,$F11=6,$F11=8,$F11=10,$F11=16)),$AI11*Прайс!$D$10,IF(AND(OR($V11="",$V11=0),$X11="Глянець",OR($F11=4,$F11=6,$F11=8,$F11=10,$F11=16)),$AI11*Прайс!$D$11,IF(AND(OR($V11="",$V11=0),$X11="Софт(TS)",OR($F11=4,$F11=6,$F11=8,$F11=10,$F11=16)),$AI11*Прайс!#REF!,0))))),0)+IF($G11="Гладкий",0,IF(AND(OR($V11="Перли",$V11="Металік",$V11="Перл.зол.",$V11="Перл.ср.",$V11="Перл.зол.",$V11="Зор.н.ср.",$V11="Зор.н.зол.",$V11="Зор.н.різн.",$V11="Гума"),OR($F11=4,$F11=6,$F11=8,$F11=10,$F11=16),$H11=1),Просчет!$AI11*Прайс!$D$76,IF(AND(OR($V11="",$V11=0),$X11="Матове",OR($F11=4,$F11=6,$F11=8,$F11=10,$F11=16),$H11=1),Просчет!$AI11*Прайс!$D$73,IF(AND(OR($V11="",$V11=0),$X11="Глянець",OR($F11=4,$F11=6,$F11=8,$F11=10,$F11=16),$H11=1),Просчет!$AI11*Прайс!$D$75,IF(AND(OR($V11="",$V11=0),$G11="Софт(TS)",OR($F11=4,$F11=6,$F11=8,$F11=10,$F11=16),$H11=1),$AI11*Прайс!$D$74,IF(AND(OR($V11="",$V11=0),$X11="Матове покриття з патиною",OR($F11=4,$F11=6,$F11=8,$F11=10,$F11=16),$H11=1),$AI11*Прайс!$D$77,IF(AND(OR($V11="",$V11=0),$X11="Глянцеве покриття з патиною",OR($F11=4,$F11=6,$F11=8,$F11=10,$F11=16),$H11=1),$AI11*Прайс!$D$78,IF(AND(OR($V11="",$V11=0),$X11="Матовий DECAPE",OR($F11=4,$F11=6,$F11=8,$F11=10,$F11=16),$H11=1),$AI11*Прайс!$D$79,IF(AND(OR($V11="",$V11=0),$X11="Глянцевий DECAPE",OR($F11=4,$F11=6,$F11=8,$F11=10,$F11=16),$H11=1),$AI11*Прайс!$D$80,0)))))))))+IF($G11="Гладкий",0,IF(AND(OR($V11="Перли",$V11="Металік",$V11="Перл.зол.",$V11="Перл.ср.",$V11="Перл.зол.",$V11="Зор.н.ср.",$V11="Зор.н.зол.",$V11="Зор.н.різн.",$V11="Гума"),OR($F11=4,$F11=6,$F11=8,$F11=10,$F11=16),$H11=2),$AI11*Прайс!$E$76,IF(AND(OR($V11="",$V11=0),$X11="Матове",OR($F11=4,$F11=6,$F11=8,$F11=10,$F11=16),$H11=2),Просчет!$AI11*Прайс!$E$73,IF(AND(OR($V11="",$V11=0),$X11="Глянець",OR($F11=4,$F11=6,$F11=8,$F11=10,$F11=16),$H11=2),$AI11*Прайс!$E$75,IF(AND(OR($V11="",$V11=0),$X11="Софт(TS)",OR($F11=4,$F11=6,$F11=8,$F11=10,$F11=16),$H11=2),$AI11*Прайс!$E$74,IF(AND(OR($V11="",$V11=0),$X11="Матове покриття з патиною",OR($F11=4,$F11=6,$F11=8,$F11=10,$F11=16),$H11=2),$AI11*Прайс!$E$77,IF(AND(OR($V11="",$V11=0),$X11="Глянцеве покриття з патиною",OR($F11=4,$F11=6,$F11=8,$F11=10,$F11=16),$H11=2),$AI11*Прайс!$E$78,IF(AND(OR($V11="",$V11=0),$X11="Матовий DECAPE",OR($F11=4,$F11=6,$F11=8,$F11=10,$F11=16),$H11=2),$AI11*Прайс!$E$79,IF(AND(OR($V11="",$V11=0),$X11="Глянцевий DECAPE",OR($F11=4,$F11=6,$F11=8,$F11=10,$F11=16),$H11=2),$AI11*Прайс!$E$80,0)))))))))+IF(AND($S11=1,OR($H11=1,$H11=0),$X11=Наименование!$L$12,OR($F11=4,$F11=6,$F11=8,$F11=10,$F11=16)),$AI11*Прайс!$D$89,IF(AND($S11=1,OR($H11=1,$H11=0),$X11=Наименование!$L$13,OR($F11=4,$F11=6,$F11=8,$F11=10,$F11=16)),$AI11*Прайс!$D$90,IF(AND($S11=1,OR($H11=1,$H11=0),$X11=Наименование!$L21,OR($F11=4,$F11=6,$F11=8,$F11=10,$F11=16)),$AI11*Прайс!$D$91,IF(AND($S11=1,OR($H11=1,$H11=0),$X11=Наименование!$L$15,OR($F11=4,$F11=6,$F11=8,$F11=10,$F11=16)),$AI11*Прайс!$D$92,0))))+IF(AND($S11=1,$H11=2,$X11=Наименование!$L$12,OR($F11=4,$F11=6,$F11=8,$F11=10,$F11=16)),$AI11*Прайс!$E$89,IF(AND($S11=1,$H11=2,$X11=Наименование!$L$13,OR($F11=4,$F11=6,$F11=8,$F11=10,$F11=16)),$AI11*Прайс!$E$90,IF(AND($S11=1,$H11=2,$X11=Наименование!$L$14,OR($F11=4,$F11=6,$F11=8,$F11=10,$F11=16)),$AI11*Прайс!$E$91,IF(AND($S11=1,$H11=2,$X11=Наименование!$L$15,OR($F11=4,$F11=6,$F11=8,$F11=10,$F11=16)),$AI11*Прайс!$E$92))))</f>
        <v>0</v>
      </c>
      <c r="AA11" s="195">
        <f>IF($G11="Гладкий",IF(OR($C11=0,$C11=""),0,IF(AND(OR($V11="Перли",$V11="Металік",$V11="Перл.зол.",$V11="Перл.ср.",$V11="Перл.зол.",$V11="Зор.н.ср.",$V11="Зор.н.зол.",$V11="Зор.н.різн.",$V11="Гума"),$F11=19),$AI11*Прайс!$E$12,IF(AND(OR($V11="",$V11=0),$X11="Матове",$F11=19),$AI11*Прайс!$E$10,IF(AND(OR($V11="",$V11=0),$X11="Глянець",$F11=19),$AI11*Прайс!$E$11,IF(AND(OR($V11="",$V11=0),$X11="Софт(TS)",$F11=19),$AI11*Прайс!#REF!,0))))),0)+IF($G11="Гладкий",0,IF(AND(OR($V11="Перли",$V11="Металік",$V11="Перл.зол.",$V11="Перл.ср.",$V11="Перл.зол.",$V11="Зор.н.ср.",$V11="Зор.н.зол.",$V11="Зор.н.різн.",$V11="Гума"),$F11=19,$H11=1),Просчет!$AI11*Прайс!$F$76,IF(AND(OR($V11="",$V11=0),$X11="Матове",$F11=19,$H11=1),Просчет!$AI11*Прайс!$F$73,IF(AND(OR($V11="",$V11=0),$X11="Глянець",$F11=19,$H11=1),Просчет!$AI11*Прайс!$F$75,IF(AND(OR($V11="",$V11=0),$G11="Софт(TS)",$F11=19,$H11=1),$AI11*Прайс!$F$74,IF(AND(OR($V11="",$V11=0),$X11="Матове покриття з патиною",$F11=19,$H11=1),$AI11*Прайс!$F$77,IF(AND(OR($V11="",$V11=0),$X11="Глянцеве покриття з патиною",$F11=19,$H11=1),$AI11*Прайс!$F$78,IF(AND(OR($V11="",$V11=0),$X11="Матовий DECAPE",$F11=19,$H11=1),$AI11*Прайс!$F$79,IF(AND(OR($V11="",$V11=0),$X11="Глянцевий DECAPE",$F11=19,$H11=1),$AI11*Прайс!$F$80,0)))))))))+IF($G11="Гладкий",0,IF(AND(OR($V11="Перли",$V11="Металік",$V11="Перл.зол.",$V11="Перл.ср.",$V11="Перл.зол.",$V11="Зор.н.ср.",$V11="Зор.н.зол.",$V11="Зор.н.різн.",$V11="Гума"),$F11=19,$H11=2),$AI11*Прайс!$G$76,IF(AND(OR($V11="",$V11=0),$X11="Матове",$F11=19,$H11=2),Просчет!$AI11*Прайс!$G$73,IF(AND(OR($V11="",$V11=0),$X11="Глянець",$F11=19,$H11=2),$AI11*Прайс!$G$75,IF(AND(OR($V11="",$V11=0),$X11="Софт(TS)",$F11=19,$H11=2),$AI11*Прайс!$G$74,IF(AND(OR($V11="",$V11=0),$X11="Матове покриття з патиною",$F11=19,$H11=2),$AI11*Прайс!$G$77,IF(AND(OR($V11="",$V11=0),$X11="Глянцеве покриття з патиною",$F11=19,$H11=2),$AI11*Прайс!$G$78,IF(AND(OR($V11="",$V11=0),$X11="Матовий DECAPE",$F11=19,$H11=2),$AI11*Прайс!$G$79,IF(AND(OR($V11="",$V11=0),$X11="Глянцевий DECAPE",$F11=19,$H11=2),$AI11*Прайс!$G$78,0)))))))))+IF(AND($S11=1,OR($H11=1,$H11=0),$X11=Наименование!$L$12,$F11=19),$AI11*Прайс!$F$89,IF(AND($S11=1,OR($H11=1,$H11=0),$X11=Наименование!$L$13,$F11=19),$AI11*Прайс!$F$90,IF(AND($S11=1,OR($H11=1,$H11=0),$X11=Наименование!$L21,$F11=19),$AI11*Прайс!$F$91,IF(AND($S11=1,OR($H11=1,$H11=0),$X11=Наименование!$L$15,$F11=19),$AI11*Прайс!$F$92,0))))+IF(AND($S11=1,$H11=2,$X11=Наименование!$L$12,$F11=19),$AI11*Прайс!$G$89,IF(AND($S11=1,$H11=2,$X11=Наименование!$L$13,$F11=19),$AI11*Прайс!$G$90,IF(AND($S11=1,$H11=2,$X11=Наименование!$L$14,$F11=19),$AI11*Прайс!$G$91,IF(AND($S11=1,$H11=2,$X11=Наименование!$L$15,$F11=19),$AI11*Прайс!$G$92))))</f>
        <v>0</v>
      </c>
      <c r="AB11" s="195">
        <f>IF($G11="Гладкий",IF(OR($C11=0,$C11=""),0,IF($Y11="Матове",$AI11*(Прайс!$D$10-500),IF($Y11="Глянець",$AI11*(Прайс!$D$11-500),IF($Y11="Софт(TS)",$AI11*(Прайс!#REF!-500),0)))),0)+IF($G11="Гладкий",0,IF(AND($Y11="Матове",$H11=1),$AI11*Прайс!$D$73*0.5,IF(AND($Y11="Глянець",$H11=1),$AI11*Прайс!$D$75*0.5,IF(AND($Y11="Софт(TS)",$H11=1),$AI11*Прайс!$D$74*0.5,IF(AND($Y11="Матове покриття з патиною",$H11=1),$AI11*Прайс!$D$77*0.5,IF(AND($Y11="Глянцеве покриття з патиною",$H11=1),$AI11*Прайс!$D$78*0.5,IF(AND($Y11="Матовий DECAPE",$H11=1),$AI11*Прайс!$D$79*0.5,IF(AND($Y11="Глянцевий DECAPE",$H11=1),$AI11*Прайс!$D$80*0.5,0))))))))+IF($G11="Гладкий",0,IF(AND($Y11="Матове",$H11=2),$AI11*Прайс!$E$73*0.5,IF(AND($Y11="Глянець",$H11=2),$AI11*Прайс!$E$75*0.5,IF(AND($Y11="Софт(TS)",$H11=2),$AI11*Прайс!$E$74*0.5,IF(AND($Y11="Матове покриття з патиною",$H11=2),$AI11*Прайс!$E$77*0.5,IF(AND($Y11="Глянцеве покриття з патиною",$H11=2),$AI11*Прайс!$E$78*0.5,IF(AND($Y11="Матовий DECAPE",$H11=2),$AI11*Прайс!$E$79*0.5,IF(AND($Y11="Глянцевий DECAPE",$H11=2),$AI11*Прайс!$E$80*0.5,0)))))))+IF(AND($S11=1,OR($H11=1,$H11=0),$Y11=Прайс!$C$89),$AI11*[1]Прайс!$D$74*0.5,IF(AND($S11=1,OR($H11=1,$H11=0),$Y11=Прайс!$C$90),$AI11*Прайс!$D$90*0.5,IF(AND($S11=1,OR($H11=1,$H11=0),$Y11=Прайс!$C$91),$AI11*Прайс!$D$91*0.5,IF(AND($S11=1,OR($H11=1,$H11=0),$Y11=Прайс!$C$92),$AI11*Прайс!$D$92*0.5,0))))+IF(AND($S11=1,$H11=2,$Y11=Прайс!$C$89),$AI11*Прайс!$E$89*0.5,IF(AND($S11=1,$H11=2,$Y11=Прайс!$C$90),$AI11*Прайс!$E$90*0.5,IF(AND($S11=1,$H11=2,$Y11=Прайс!$C$91),$AI11*Прайс!$E$91*0.5,IF(AND($S11=1,$H11=2,$Y11=Прайс!$C$92),$AI11*Прайс!$E$92*0.5,0)))))</f>
        <v>0</v>
      </c>
      <c r="AC11" s="197" t="str">
        <f>IF(Бланк!AD28="","",Бланк!AD28*E11)</f>
        <v/>
      </c>
      <c r="AD11" s="195">
        <f>IF(OR($AC11=0,$AC11=""),0,$AC11*Прайс!$D$111)</f>
        <v>0</v>
      </c>
      <c r="AE11" s="197" t="str">
        <f>IF(Бланк!AE28="","",Бланк!AE28)</f>
        <v/>
      </c>
      <c r="AF11" s="197" t="str">
        <f>IF(Бланк!AF28="","",Бланк!AF28)</f>
        <v/>
      </c>
      <c r="AG11" s="197" t="str">
        <f>IF(Бланк!AG28="","",Бланк!AG28)</f>
        <v/>
      </c>
      <c r="AH11" s="197" t="str">
        <f>IF(Бланк!AH28="","",Бланк!AH28)</f>
        <v/>
      </c>
      <c r="AI11" s="139">
        <f>IF(Бланк!$AI28="","",Бланк!$AI28)</f>
        <v>0</v>
      </c>
      <c r="AJ11" s="198"/>
      <c r="AK11" s="198"/>
      <c r="AL11" s="198"/>
      <c r="AM11" s="199"/>
      <c r="AN11" s="199"/>
      <c r="AO11" s="199"/>
      <c r="AP11" s="199"/>
      <c r="AQ11" s="200"/>
      <c r="AR11" s="190"/>
    </row>
    <row r="12" spans="1:45" s="202" customFormat="1" ht="21" customHeight="1" x14ac:dyDescent="0.3">
      <c r="B12" s="201">
        <v>9</v>
      </c>
      <c r="C12" s="192" t="str">
        <f>IF(Бланк!$C29="","",Бланк!$C29/1000)</f>
        <v/>
      </c>
      <c r="D12" s="192" t="str">
        <f>IF(Бланк!$D29="","",Бланк!$D29/1000)</f>
        <v/>
      </c>
      <c r="E12" s="192" t="str">
        <f>IF(Бланк!$E29="","",Бланк!$E29)</f>
        <v/>
      </c>
      <c r="F12" s="192" t="str">
        <f>IF(Бланк!$F29="","",Бланк!$F29)</f>
        <v/>
      </c>
      <c r="G12" s="192" t="str">
        <f>IF(Бланк!$G29="","",Бланк!$G29)</f>
        <v/>
      </c>
      <c r="H12" s="193" t="str">
        <f>IF($G12="","",VLOOKUP($G12,Наименование!$M$42:$N$95,2,FALSE))</f>
        <v/>
      </c>
      <c r="I12" s="192" t="str">
        <f>IF(Бланк!$H29="","",Бланк!$H29)</f>
        <v/>
      </c>
      <c r="J12" s="192" t="str">
        <f>IF(Бланк!$I29="","",Бланк!$I29)</f>
        <v/>
      </c>
      <c r="K12" s="194" t="str">
        <f>IF(OR($J12="",$J12=0),"",IF($J12="Пряма з чвертю",(Прайс!$D$106+Прайс!$D$109)*Просчет!$E12,IF($J12="Пряма без чверті",Прайс!$D$106*Просчет!$E12,IF(AND($J12="Шпрос з чвертю",OR($C12&lt;1,$C12=1)),(Прайс!$D$37+Прайс!$D$40)*Просчет!$E12,IF(AND($J12="Шпрос з чвертю",$C12&gt;1),(Прайс!$F$37+Прайс!$D$40)*Просчет!$E12,IF(AND($J12="Шпрос без чверті",OR($C12&lt;1,$C12=1)),Прайс!$D$37*Просчет!$E12,IF(AND($J12="Шпрос без чверті",$C12&gt;1),Прайс!$F$37*Просчет!$E12,"")))))))</f>
        <v/>
      </c>
      <c r="L12" s="192" t="str">
        <f>IF(Бланк!$J29="","",Бланк!$J29/1000)</f>
        <v/>
      </c>
      <c r="M12" s="192" t="str">
        <f>IF(Бланк!$K29="","",Бланк!$K29)</f>
        <v/>
      </c>
      <c r="N12" s="195">
        <f t="shared" si="0"/>
        <v>0</v>
      </c>
      <c r="O12" s="194">
        <f>IF($G12="гладкий",IF($M12="","",IF(OR($M12="J № 1",$M12="J № 2",$M12="J № 2L",$M12="J № 2R",$M12="AJ № 2",$M12="AJ № 2L",$M12="AJ № 2R",$M12="U",$M12="V"),$N12*Прайс!$D$43,IF(OR($M12="AJ № 3R",$M12="AJ № 4R",$M12="AJ № 5R",$M12="AJ № 3L",$M12="AJ № 4L",$M12="AJ № 5L",$M12="AJ № 3",$M12="AJ № 4",$M12="AJ № 5",$M12="J № 3",$M12="J № 4",$M12="J № 5",$M12="J № 6",$M12="J № 7",$M12="L",$M12="AL"),Прайс!$D$43*$E12,IF(OR($M12="J № 3L",$M12="J № 3R",$M12="J № 4L",$M12="J № 4R",$M12="J № 5L",$M12="J № 5R"),$N12/2*Прайс!$D$47*$E12,IF($M12="45 град.",$N12*Прайс!$D$42,0))))),0)</f>
        <v>0</v>
      </c>
      <c r="P12" s="192" t="str">
        <f>IF(Бланк!$L29="","",Бланк!$L29)</f>
        <v/>
      </c>
      <c r="Q12" s="192" t="str">
        <f>IF(Бланк!$M29="","",Бланк!$M29)</f>
        <v/>
      </c>
      <c r="R12" s="194">
        <f>IF($P12="",0,IF($Q12=$U12,0,IF($Q12="",0,IF(OR($G12=35,$G12=36,$G12=37,$G12=38),Прайс!$D$118*Бланк!E29,IF(AND($G12="гладкий",OR($M12="J № 1",$M12="J № 2",$M12="J № 2L",$M12="J № 2R")),$N12*Прайс!$D$59,0)))))</f>
        <v>0</v>
      </c>
      <c r="S12" s="192" t="str">
        <f>IF(OR(Бланк!$O29=0,Бланк!$O29=""),"",1)</f>
        <v/>
      </c>
      <c r="T12" s="192" t="str">
        <f>IF(Бланк!$R29="","",Бланк!$R29)</f>
        <v/>
      </c>
      <c r="U12" s="192" t="str">
        <f>IF(Бланк!$S29="","",Бланк!$S29)</f>
        <v/>
      </c>
      <c r="V12" s="192" t="str">
        <f>IF(Бланк!$T29="","",Бланк!$T29)</f>
        <v/>
      </c>
      <c r="W12" s="196" t="str">
        <f>IF(Бланк!$W29="","",Бланк!$W29)</f>
        <v/>
      </c>
      <c r="X12" s="197" t="str">
        <f>IF(Бланк!AB29="","",Бланк!AB29)</f>
        <v/>
      </c>
      <c r="Y12" s="197" t="str">
        <f>IF(Бланк!AC29="","",Бланк!AC29)</f>
        <v/>
      </c>
      <c r="Z12" s="195">
        <f>IF($G12="Гладкий",IF(OR($C12=0,$C12=""),0,IF(AND(OR($V12="Перли",$V12="Металік",$V12="Перл.зол.",$V12="Перл.ср.",$V12="Перл.зол.",$V12="Зор.н.ср.",$V12="Зор.н.зол.",$V12="Зор.н.різн.",$V12="Гума"),OR($F12=4,$F12=6,$F12=8,$F12=10,$F12=16)),$AI12*Прайс!$D$12,IF(AND(OR($V12="",$V12=0),$X12="Матове",OR($F12=4,$F12=6,$F12=8,$F12=10,$F12=16)),$AI12*Прайс!$D$10,IF(AND(OR($V12="",$V12=0),$X12="Глянець",OR($F12=4,$F12=6,$F12=8,$F12=10,$F12=16)),$AI12*Прайс!$D$11,IF(AND(OR($V12="",$V12=0),$X12="Софт(TS)",OR($F12=4,$F12=6,$F12=8,$F12=10,$F12=16)),$AI12*Прайс!#REF!,0))))),0)+IF($G12="Гладкий",0,IF(AND(OR($V12="Перли",$V12="Металік",$V12="Перл.зол.",$V12="Перл.ср.",$V12="Перл.зол.",$V12="Зор.н.ср.",$V12="Зор.н.зол.",$V12="Зор.н.різн.",$V12="Гума"),OR($F12=4,$F12=6,$F12=8,$F12=10,$F12=16),$H12=1),Просчет!$AI12*Прайс!$D$76,IF(AND(OR($V12="",$V12=0),$X12="Матове",OR($F12=4,$F12=6,$F12=8,$F12=10,$F12=16),$H12=1),Просчет!$AI12*Прайс!$D$73,IF(AND(OR($V12="",$V12=0),$X12="Глянець",OR($F12=4,$F12=6,$F12=8,$F12=10,$F12=16),$H12=1),Просчет!$AI12*Прайс!$D$75,IF(AND(OR($V12="",$V12=0),$G12="Софт(TS)",OR($F12=4,$F12=6,$F12=8,$F12=10,$F12=16),$H12=1),$AI12*Прайс!$D$74,IF(AND(OR($V12="",$V12=0),$X12="Матове покриття з патиною",OR($F12=4,$F12=6,$F12=8,$F12=10,$F12=16),$H12=1),$AI12*Прайс!$D$77,IF(AND(OR($V12="",$V12=0),$X12="Глянцеве покриття з патиною",OR($F12=4,$F12=6,$F12=8,$F12=10,$F12=16),$H12=1),$AI12*Прайс!$D$78,IF(AND(OR($V12="",$V12=0),$X12="Матовий DECAPE",OR($F12=4,$F12=6,$F12=8,$F12=10,$F12=16),$H12=1),$AI12*Прайс!$D$79,IF(AND(OR($V12="",$V12=0),$X12="Глянцевий DECAPE",OR($F12=4,$F12=6,$F12=8,$F12=10,$F12=16),$H12=1),$AI12*Прайс!$D$80,0)))))))))+IF($G12="Гладкий",0,IF(AND(OR($V12="Перли",$V12="Металік",$V12="Перл.зол.",$V12="Перл.ср.",$V12="Перл.зол.",$V12="Зор.н.ср.",$V12="Зор.н.зол.",$V12="Зор.н.різн.",$V12="Гума"),OR($F12=4,$F12=6,$F12=8,$F12=10,$F12=16),$H12=2),$AI12*Прайс!$E$76,IF(AND(OR($V12="",$V12=0),$X12="Матове",OR($F12=4,$F12=6,$F12=8,$F12=10,$F12=16),$H12=2),Просчет!$AI12*Прайс!$E$73,IF(AND(OR($V12="",$V12=0),$X12="Глянець",OR($F12=4,$F12=6,$F12=8,$F12=10,$F12=16),$H12=2),$AI12*Прайс!$E$75,IF(AND(OR($V12="",$V12=0),$X12="Софт(TS)",OR($F12=4,$F12=6,$F12=8,$F12=10,$F12=16),$H12=2),$AI12*Прайс!$E$74,IF(AND(OR($V12="",$V12=0),$X12="Матове покриття з патиною",OR($F12=4,$F12=6,$F12=8,$F12=10,$F12=16),$H12=2),$AI12*Прайс!$E$77,IF(AND(OR($V12="",$V12=0),$X12="Глянцеве покриття з патиною",OR($F12=4,$F12=6,$F12=8,$F12=10,$F12=16),$H12=2),$AI12*Прайс!$E$78,IF(AND(OR($V12="",$V12=0),$X12="Матовий DECAPE",OR($F12=4,$F12=6,$F12=8,$F12=10,$F12=16),$H12=2),$AI12*Прайс!$E$79,IF(AND(OR($V12="",$V12=0),$X12="Глянцевий DECAPE",OR($F12=4,$F12=6,$F12=8,$F12=10,$F12=16),$H12=2),$AI12*Прайс!$E$80,0)))))))))+IF(AND($S12=1,OR($H12=1,$H12=0),$X12=Наименование!$L$12,OR($F12=4,$F12=6,$F12=8,$F12=10,$F12=16)),$AI12*Прайс!$D$89,IF(AND($S12=1,OR($H12=1,$H12=0),$X12=Наименование!$L$13,OR($F12=4,$F12=6,$F12=8,$F12=10,$F12=16)),$AI12*Прайс!$D$90,IF(AND($S12=1,OR($H12=1,$H12=0),$X12=Наименование!$L22,OR($F12=4,$F12=6,$F12=8,$F12=10,$F12=16)),$AI12*Прайс!$D$91,IF(AND($S12=1,OR($H12=1,$H12=0),$X12=Наименование!$L$15,OR($F12=4,$F12=6,$F12=8,$F12=10,$F12=16)),$AI12*Прайс!$D$92,0))))+IF(AND($S12=1,$H12=2,$X12=Наименование!$L$12,OR($F12=4,$F12=6,$F12=8,$F12=10,$F12=16)),$AI12*Прайс!$E$89,IF(AND($S12=1,$H12=2,$X12=Наименование!$L$13,OR($F12=4,$F12=6,$F12=8,$F12=10,$F12=16)),$AI12*Прайс!$E$90,IF(AND($S12=1,$H12=2,$X12=Наименование!$L$14,OR($F12=4,$F12=6,$F12=8,$F12=10,$F12=16)),$AI12*Прайс!$E$91,IF(AND($S12=1,$H12=2,$X12=Наименование!$L$15,OR($F12=4,$F12=6,$F12=8,$F12=10,$F12=16)),$AI12*Прайс!$E$92))))</f>
        <v>0</v>
      </c>
      <c r="AA12" s="195">
        <f>IF($G12="Гладкий",IF(OR($C12=0,$C12=""),0,IF(AND(OR($V12="Перли",$V12="Металік",$V12="Перл.зол.",$V12="Перл.ср.",$V12="Перл.зол.",$V12="Зор.н.ср.",$V12="Зор.н.зол.",$V12="Зор.н.різн.",$V12="Гума"),$F12=19),$AI12*Прайс!$E$12,IF(AND(OR($V12="",$V12=0),$X12="Матове",$F12=19),$AI12*Прайс!$E$10,IF(AND(OR($V12="",$V12=0),$X12="Глянець",$F12=19),$AI12*Прайс!$E$11,IF(AND(OR($V12="",$V12=0),$X12="Софт(TS)",$F12=19),$AI12*Прайс!#REF!,0))))),0)+IF($G12="Гладкий",0,IF(AND(OR($V12="Перли",$V12="Металік",$V12="Перл.зол.",$V12="Перл.ср.",$V12="Перл.зол.",$V12="Зор.н.ср.",$V12="Зор.н.зол.",$V12="Зор.н.різн.",$V12="Гума"),$F12=19,$H12=1),Просчет!$AI12*Прайс!$F$76,IF(AND(OR($V12="",$V12=0),$X12="Матове",$F12=19,$H12=1),Просчет!$AI12*Прайс!$F$73,IF(AND(OR($V12="",$V12=0),$X12="Глянець",$F12=19,$H12=1),Просчет!$AI12*Прайс!$F$75,IF(AND(OR($V12="",$V12=0),$G12="Софт(TS)",$F12=19,$H12=1),$AI12*Прайс!$F$74,IF(AND(OR($V12="",$V12=0),$X12="Матове покриття з патиною",$F12=19,$H12=1),$AI12*Прайс!$F$77,IF(AND(OR($V12="",$V12=0),$X12="Глянцеве покриття з патиною",$F12=19,$H12=1),$AI12*Прайс!$F$78,IF(AND(OR($V12="",$V12=0),$X12="Матовий DECAPE",$F12=19,$H12=1),$AI12*Прайс!$F$79,IF(AND(OR($V12="",$V12=0),$X12="Глянцевий DECAPE",$F12=19,$H12=1),$AI12*Прайс!$F$80,0)))))))))+IF($G12="Гладкий",0,IF(AND(OR($V12="Перли",$V12="Металік",$V12="Перл.зол.",$V12="Перл.ср.",$V12="Перл.зол.",$V12="Зор.н.ср.",$V12="Зор.н.зол.",$V12="Зор.н.різн.",$V12="Гума"),$F12=19,$H12=2),$AI12*Прайс!$G$76,IF(AND(OR($V12="",$V12=0),$X12="Матове",$F12=19,$H12=2),Просчет!$AI12*Прайс!$G$73,IF(AND(OR($V12="",$V12=0),$X12="Глянець",$F12=19,$H12=2),$AI12*Прайс!$G$75,IF(AND(OR($V12="",$V12=0),$X12="Софт(TS)",$F12=19,$H12=2),$AI12*Прайс!$G$74,IF(AND(OR($V12="",$V12=0),$X12="Матове покриття з патиною",$F12=19,$H12=2),$AI12*Прайс!$G$77,IF(AND(OR($V12="",$V12=0),$X12="Глянцеве покриття з патиною",$F12=19,$H12=2),$AI12*Прайс!$G$78,IF(AND(OR($V12="",$V12=0),$X12="Матовий DECAPE",$F12=19,$H12=2),$AI12*Прайс!$G$79,IF(AND(OR($V12="",$V12=0),$X12="Глянцевий DECAPE",$F12=19,$H12=2),$AI12*Прайс!$G$78,0)))))))))+IF(AND($S12=1,OR($H12=1,$H12=0),$X12=Наименование!$L$12,$F12=19),$AI12*Прайс!$F$89,IF(AND($S12=1,OR($H12=1,$H12=0),$X12=Наименование!$L$13,$F12=19),$AI12*Прайс!$F$90,IF(AND($S12=1,OR($H12=1,$H12=0),$X12=Наименование!$L22,$F12=19),$AI12*Прайс!$F$91,IF(AND($S12=1,OR($H12=1,$H12=0),$X12=Наименование!$L$15,$F12=19),$AI12*Прайс!$F$92,0))))+IF(AND($S12=1,$H12=2,$X12=Наименование!$L$12,$F12=19),$AI12*Прайс!$G$89,IF(AND($S12=1,$H12=2,$X12=Наименование!$L$13,$F12=19),$AI12*Прайс!$G$90,IF(AND($S12=1,$H12=2,$X12=Наименование!$L$14,$F12=19),$AI12*Прайс!$G$91,IF(AND($S12=1,$H12=2,$X12=Наименование!$L$15,$F12=19),$AI12*Прайс!$G$92))))</f>
        <v>0</v>
      </c>
      <c r="AB12" s="195">
        <f>IF($G12="Гладкий",IF(OR($C12=0,$C12=""),0,IF($Y12="Матове",$AI12*(Прайс!$D$10-500),IF($Y12="Глянець",$AI12*(Прайс!$D$11-500),IF($Y12="Софт(TS)",$AI12*(Прайс!#REF!-500),0)))),0)+IF($G12="Гладкий",0,IF(AND($Y12="Матове",$H12=1),$AI12*Прайс!$D$73*0.5,IF(AND($Y12="Глянець",$H12=1),$AI12*Прайс!$D$75*0.5,IF(AND($Y12="Софт(TS)",$H12=1),$AI12*Прайс!$D$74*0.5,IF(AND($Y12="Матове покриття з патиною",$H12=1),$AI12*Прайс!$D$77*0.5,IF(AND($Y12="Глянцеве покриття з патиною",$H12=1),$AI12*Прайс!$D$78*0.5,IF(AND($Y12="Матовий DECAPE",$H12=1),$AI12*Прайс!$D$79*0.5,IF(AND($Y12="Глянцевий DECAPE",$H12=1),$AI12*Прайс!$D$80*0.5,0))))))))+IF($G12="Гладкий",0,IF(AND($Y12="Матове",$H12=2),$AI12*Прайс!$E$73*0.5,IF(AND($Y12="Глянець",$H12=2),$AI12*Прайс!$E$75*0.5,IF(AND($Y12="Софт(TS)",$H12=2),$AI12*Прайс!$E$74*0.5,IF(AND($Y12="Матове покриття з патиною",$H12=2),$AI12*Прайс!$E$77*0.5,IF(AND($Y12="Глянцеве покриття з патиною",$H12=2),$AI12*Прайс!$E$78*0.5,IF(AND($Y12="Матовий DECAPE",$H12=2),$AI12*Прайс!$E$79*0.5,IF(AND($Y12="Глянцевий DECAPE",$H12=2),$AI12*Прайс!$E$80*0.5,0)))))))+IF(AND($S12=1,OR($H12=1,$H12=0),$Y12=Прайс!$C$89),$AI12*[1]Прайс!$D$74*0.5,IF(AND($S12=1,OR($H12=1,$H12=0),$Y12=Прайс!$C$90),$AI12*Прайс!$D$90*0.5,IF(AND($S12=1,OR($H12=1,$H12=0),$Y12=Прайс!$C$91),$AI12*Прайс!$D$91*0.5,IF(AND($S12=1,OR($H12=1,$H12=0),$Y12=Прайс!$C$92),$AI12*Прайс!$D$92*0.5,0))))+IF(AND($S12=1,$H12=2,$Y12=Прайс!$C$89),$AI12*Прайс!$E$89*0.5,IF(AND($S12=1,$H12=2,$Y12=Прайс!$C$90),$AI12*Прайс!$E$90*0.5,IF(AND($S12=1,$H12=2,$Y12=Прайс!$C$91),$AI12*Прайс!$E$91*0.5,IF(AND($S12=1,$H12=2,$Y12=Прайс!$C$92),$AI12*Прайс!$E$92*0.5,0)))))</f>
        <v>0</v>
      </c>
      <c r="AC12" s="197" t="str">
        <f>IF(Бланк!AD29="","",Бланк!AD29*E12)</f>
        <v/>
      </c>
      <c r="AD12" s="195">
        <f>IF(OR($AC12=0,$AC12=""),0,$AC12*Прайс!$D$111)</f>
        <v>0</v>
      </c>
      <c r="AE12" s="197" t="str">
        <f>IF(Бланк!AE29="","",Бланк!AE29)</f>
        <v/>
      </c>
      <c r="AF12" s="197" t="str">
        <f>IF(Бланк!AF29="","",Бланк!AF29)</f>
        <v/>
      </c>
      <c r="AG12" s="197" t="str">
        <f>IF(Бланк!AG29="","",Бланк!AG29)</f>
        <v/>
      </c>
      <c r="AH12" s="197" t="str">
        <f>IF(Бланк!AH29="","",Бланк!AH29)</f>
        <v/>
      </c>
      <c r="AI12" s="139">
        <f>IF(Бланк!$AI29="","",Бланк!$AI29)</f>
        <v>0</v>
      </c>
      <c r="AJ12" s="198"/>
      <c r="AK12" s="198"/>
      <c r="AL12" s="198"/>
      <c r="AM12" s="199"/>
      <c r="AN12" s="199"/>
      <c r="AO12" s="199"/>
      <c r="AP12" s="199"/>
      <c r="AQ12" s="200"/>
      <c r="AR12" s="190"/>
    </row>
    <row r="13" spans="1:45" s="202" customFormat="1" ht="21" customHeight="1" x14ac:dyDescent="0.3">
      <c r="B13" s="201">
        <v>10</v>
      </c>
      <c r="C13" s="192" t="str">
        <f>IF(Бланк!$C30="","",Бланк!$C30/1000)</f>
        <v/>
      </c>
      <c r="D13" s="192" t="str">
        <f>IF(Бланк!$D30="","",Бланк!$D30/1000)</f>
        <v/>
      </c>
      <c r="E13" s="192" t="str">
        <f>IF(Бланк!$E30="","",Бланк!$E30)</f>
        <v/>
      </c>
      <c r="F13" s="192" t="str">
        <f>IF(Бланк!$F30="","",Бланк!$F30)</f>
        <v/>
      </c>
      <c r="G13" s="192" t="str">
        <f>IF(Бланк!$G30="","",Бланк!$G30)</f>
        <v/>
      </c>
      <c r="H13" s="193" t="str">
        <f>IF($G13="","",VLOOKUP($G13,Наименование!$M$42:$N$95,2,FALSE))</f>
        <v/>
      </c>
      <c r="I13" s="192" t="str">
        <f>IF(Бланк!$H30="","",Бланк!$H30)</f>
        <v/>
      </c>
      <c r="J13" s="192" t="str">
        <f>IF(Бланк!$I30="","",Бланк!$I30)</f>
        <v/>
      </c>
      <c r="K13" s="194" t="str">
        <f>IF(OR($J13="",$J13=0),"",IF($J13="Пряма з чвертю",(Прайс!$D$106+Прайс!$D$109)*Просчет!$E13,IF($J13="Пряма без чверті",Прайс!$D$106*Просчет!$E13,IF(AND($J13="Шпрос з чвертю",OR($C13&lt;1,$C13=1)),(Прайс!$D$37+Прайс!$D$40)*Просчет!$E13,IF(AND($J13="Шпрос з чвертю",$C13&gt;1),(Прайс!$F$37+Прайс!$D$40)*Просчет!$E13,IF(AND($J13="Шпрос без чверті",OR($C13&lt;1,$C13=1)),Прайс!$D$37*Просчет!$E13,IF(AND($J13="Шпрос без чверті",$C13&gt;1),Прайс!$F$37*Просчет!$E13,"")))))))</f>
        <v/>
      </c>
      <c r="L13" s="192" t="str">
        <f>IF(Бланк!$J30="","",Бланк!$J30/1000)</f>
        <v/>
      </c>
      <c r="M13" s="192" t="str">
        <f>IF(Бланк!$K30="","",Бланк!$K30)</f>
        <v/>
      </c>
      <c r="N13" s="195">
        <f t="shared" si="0"/>
        <v>0</v>
      </c>
      <c r="O13" s="194">
        <f>IF($G13="гладкий",IF($M13="","",IF(OR($M13="J № 1",$M13="J № 2",$M13="J № 2L",$M13="J № 2R",$M13="AJ № 2",$M13="AJ № 2L",$M13="AJ № 2R",$M13="U",$M13="V"),$N13*Прайс!$D$43,IF(OR($M13="AJ № 3R",$M13="AJ № 4R",$M13="AJ № 5R",$M13="AJ № 3L",$M13="AJ № 4L",$M13="AJ № 5L",$M13="AJ № 3",$M13="AJ № 4",$M13="AJ № 5",$M13="J № 3",$M13="J № 4",$M13="J № 5",$M13="J № 6",$M13="J № 7",$M13="L",$M13="AL"),Прайс!$D$43*$E13,IF(OR($M13="J № 3L",$M13="J № 3R",$M13="J № 4L",$M13="J № 4R",$M13="J № 5L",$M13="J № 5R"),$N13/2*Прайс!$D$47*$E13,IF($M13="45 град.",$N13*Прайс!$D$42,0))))),0)</f>
        <v>0</v>
      </c>
      <c r="P13" s="192" t="str">
        <f>IF(Бланк!$L30="","",Бланк!$L30)</f>
        <v/>
      </c>
      <c r="Q13" s="192" t="str">
        <f>IF(Бланк!$M30="","",Бланк!$M30)</f>
        <v/>
      </c>
      <c r="R13" s="194">
        <f>IF($P13="",0,IF($Q13=$U13,0,IF($Q13="",0,IF(OR($G13=35,$G13=36,$G13=37,$G13=38),Прайс!$D$118*Бланк!E30,IF(AND($G13="гладкий",OR($M13="J № 1",$M13="J № 2",$M13="J № 2L",$M13="J № 2R")),$N13*Прайс!$D$59,0)))))</f>
        <v>0</v>
      </c>
      <c r="S13" s="192" t="str">
        <f>IF(OR(Бланк!$O30=0,Бланк!$O30=""),"",1)</f>
        <v/>
      </c>
      <c r="T13" s="192" t="str">
        <f>IF(Бланк!$R30="","",Бланк!$R30)</f>
        <v/>
      </c>
      <c r="U13" s="192" t="str">
        <f>IF(Бланк!$S30="","",Бланк!$S30)</f>
        <v/>
      </c>
      <c r="V13" s="192" t="str">
        <f>IF(Бланк!$T30="","",Бланк!$T30)</f>
        <v/>
      </c>
      <c r="W13" s="196" t="str">
        <f>IF(Бланк!$W30="","",Бланк!$W30)</f>
        <v/>
      </c>
      <c r="X13" s="197" t="str">
        <f>IF(Бланк!AB30="","",Бланк!AB30)</f>
        <v/>
      </c>
      <c r="Y13" s="197" t="str">
        <f>IF(Бланк!AC30="","",Бланк!AC30)</f>
        <v/>
      </c>
      <c r="Z13" s="195">
        <f>IF($G13="Гладкий",IF(OR($C13=0,$C13=""),0,IF(AND(OR($V13="Перли",$V13="Металік",$V13="Перл.зол.",$V13="Перл.ср.",$V13="Перл.зол.",$V13="Зор.н.ср.",$V13="Зор.н.зол.",$V13="Зор.н.різн.",$V13="Гума"),OR($F13=4,$F13=6,$F13=8,$F13=10,$F13=16)),$AI13*Прайс!$D$12,IF(AND(OR($V13="",$V13=0),$X13="Матове",OR($F13=4,$F13=6,$F13=8,$F13=10,$F13=16)),$AI13*Прайс!$D$10,IF(AND(OR($V13="",$V13=0),$X13="Глянець",OR($F13=4,$F13=6,$F13=8,$F13=10,$F13=16)),$AI13*Прайс!$D$11,IF(AND(OR($V13="",$V13=0),$X13="Софт(TS)",OR($F13=4,$F13=6,$F13=8,$F13=10,$F13=16)),$AI13*Прайс!#REF!,0))))),0)+IF($G13="Гладкий",0,IF(AND(OR($V13="Перли",$V13="Металік",$V13="Перл.зол.",$V13="Перл.ср.",$V13="Перл.зол.",$V13="Зор.н.ср.",$V13="Зор.н.зол.",$V13="Зор.н.різн.",$V13="Гума"),OR($F13=4,$F13=6,$F13=8,$F13=10,$F13=16),$H13=1),Просчет!$AI13*Прайс!$D$76,IF(AND(OR($V13="",$V13=0),$X13="Матове",OR($F13=4,$F13=6,$F13=8,$F13=10,$F13=16),$H13=1),Просчет!$AI13*Прайс!$D$73,IF(AND(OR($V13="",$V13=0),$X13="Глянець",OR($F13=4,$F13=6,$F13=8,$F13=10,$F13=16),$H13=1),Просчет!$AI13*Прайс!$D$75,IF(AND(OR($V13="",$V13=0),$G13="Софт(TS)",OR($F13=4,$F13=6,$F13=8,$F13=10,$F13=16),$H13=1),$AI13*Прайс!$D$74,IF(AND(OR($V13="",$V13=0),$X13="Матове покриття з патиною",OR($F13=4,$F13=6,$F13=8,$F13=10,$F13=16),$H13=1),$AI13*Прайс!$D$77,IF(AND(OR($V13="",$V13=0),$X13="Глянцеве покриття з патиною",OR($F13=4,$F13=6,$F13=8,$F13=10,$F13=16),$H13=1),$AI13*Прайс!$D$78,IF(AND(OR($V13="",$V13=0),$X13="Матовий DECAPE",OR($F13=4,$F13=6,$F13=8,$F13=10,$F13=16),$H13=1),$AI13*Прайс!$D$79,IF(AND(OR($V13="",$V13=0),$X13="Глянцевий DECAPE",OR($F13=4,$F13=6,$F13=8,$F13=10,$F13=16),$H13=1),$AI13*Прайс!$D$80,0)))))))))+IF($G13="Гладкий",0,IF(AND(OR($V13="Перли",$V13="Металік",$V13="Перл.зол.",$V13="Перл.ср.",$V13="Перл.зол.",$V13="Зор.н.ср.",$V13="Зор.н.зол.",$V13="Зор.н.різн.",$V13="Гума"),OR($F13=4,$F13=6,$F13=8,$F13=10,$F13=16),$H13=2),$AI13*Прайс!$E$76,IF(AND(OR($V13="",$V13=0),$X13="Матове",OR($F13=4,$F13=6,$F13=8,$F13=10,$F13=16),$H13=2),Просчет!$AI13*Прайс!$E$73,IF(AND(OR($V13="",$V13=0),$X13="Глянець",OR($F13=4,$F13=6,$F13=8,$F13=10,$F13=16),$H13=2),$AI13*Прайс!$E$75,IF(AND(OR($V13="",$V13=0),$X13="Софт(TS)",OR($F13=4,$F13=6,$F13=8,$F13=10,$F13=16),$H13=2),$AI13*Прайс!$E$74,IF(AND(OR($V13="",$V13=0),$X13="Матове покриття з патиною",OR($F13=4,$F13=6,$F13=8,$F13=10,$F13=16),$H13=2),$AI13*Прайс!$E$77,IF(AND(OR($V13="",$V13=0),$X13="Глянцеве покриття з патиною",OR($F13=4,$F13=6,$F13=8,$F13=10,$F13=16),$H13=2),$AI13*Прайс!$E$78,IF(AND(OR($V13="",$V13=0),$X13="Матовий DECAPE",OR($F13=4,$F13=6,$F13=8,$F13=10,$F13=16),$H13=2),$AI13*Прайс!$E$79,IF(AND(OR($V13="",$V13=0),$X13="Глянцевий DECAPE",OR($F13=4,$F13=6,$F13=8,$F13=10,$F13=16),$H13=2),$AI13*Прайс!$E$80,0)))))))))+IF(AND($S13=1,OR($H13=1,$H13=0),$X13=Наименование!$L$12,OR($F13=4,$F13=6,$F13=8,$F13=10,$F13=16)),$AI13*Прайс!$D$89,IF(AND($S13=1,OR($H13=1,$H13=0),$X13=Наименование!$L$13,OR($F13=4,$F13=6,$F13=8,$F13=10,$F13=16)),$AI13*Прайс!$D$90,IF(AND($S13=1,OR($H13=1,$H13=0),$X13=Наименование!$L23,OR($F13=4,$F13=6,$F13=8,$F13=10,$F13=16)),$AI13*Прайс!$D$91,IF(AND($S13=1,OR($H13=1,$H13=0),$X13=Наименование!$L$15,OR($F13=4,$F13=6,$F13=8,$F13=10,$F13=16)),$AI13*Прайс!$D$92,0))))+IF(AND($S13=1,$H13=2,$X13=Наименование!$L$12,OR($F13=4,$F13=6,$F13=8,$F13=10,$F13=16)),$AI13*Прайс!$E$89,IF(AND($S13=1,$H13=2,$X13=Наименование!$L$13,OR($F13=4,$F13=6,$F13=8,$F13=10,$F13=16)),$AI13*Прайс!$E$90,IF(AND($S13=1,$H13=2,$X13=Наименование!$L$14,OR($F13=4,$F13=6,$F13=8,$F13=10,$F13=16)),$AI13*Прайс!$E$91,IF(AND($S13=1,$H13=2,$X13=Наименование!$L$15,OR($F13=4,$F13=6,$F13=8,$F13=10,$F13=16)),$AI13*Прайс!$E$92))))</f>
        <v>0</v>
      </c>
      <c r="AA13" s="195">
        <f>IF($G13="Гладкий",IF(OR($C13=0,$C13=""),0,IF(AND(OR($V13="Перли",$V13="Металік",$V13="Перл.зол.",$V13="Перл.ср.",$V13="Перл.зол.",$V13="Зор.н.ср.",$V13="Зор.н.зол.",$V13="Зор.н.різн.",$V13="Гума"),$F13=19),$AI13*Прайс!$E$12,IF(AND(OR($V13="",$V13=0),$X13="Матове",$F13=19),$AI13*Прайс!$E$10,IF(AND(OR($V13="",$V13=0),$X13="Глянець",$F13=19),$AI13*Прайс!$E$11,IF(AND(OR($V13="",$V13=0),$X13="Софт(TS)",$F13=19),$AI13*Прайс!#REF!,0))))),0)+IF($G13="Гладкий",0,IF(AND(OR($V13="Перли",$V13="Металік",$V13="Перл.зол.",$V13="Перл.ср.",$V13="Перл.зол.",$V13="Зор.н.ср.",$V13="Зор.н.зол.",$V13="Зор.н.різн.",$V13="Гума"),$F13=19,$H13=1),Просчет!$AI13*Прайс!$F$76,IF(AND(OR($V13="",$V13=0),$X13="Матове",$F13=19,$H13=1),Просчет!$AI13*Прайс!$F$73,IF(AND(OR($V13="",$V13=0),$X13="Глянець",$F13=19,$H13=1),Просчет!$AI13*Прайс!$F$75,IF(AND(OR($V13="",$V13=0),$G13="Софт(TS)",$F13=19,$H13=1),$AI13*Прайс!$F$74,IF(AND(OR($V13="",$V13=0),$X13="Матове покриття з патиною",$F13=19,$H13=1),$AI13*Прайс!$F$77,IF(AND(OR($V13="",$V13=0),$X13="Глянцеве покриття з патиною",$F13=19,$H13=1),$AI13*Прайс!$F$78,IF(AND(OR($V13="",$V13=0),$X13="Матовий DECAPE",$F13=19,$H13=1),$AI13*Прайс!$F$79,IF(AND(OR($V13="",$V13=0),$X13="Глянцевий DECAPE",$F13=19,$H13=1),$AI13*Прайс!$F$80,0)))))))))+IF($G13="Гладкий",0,IF(AND(OR($V13="Перли",$V13="Металік",$V13="Перл.зол.",$V13="Перл.ср.",$V13="Перл.зол.",$V13="Зор.н.ср.",$V13="Зор.н.зол.",$V13="Зор.н.різн.",$V13="Гума"),$F13=19,$H13=2),$AI13*Прайс!$G$76,IF(AND(OR($V13="",$V13=0),$X13="Матове",$F13=19,$H13=2),Просчет!$AI13*Прайс!$G$73,IF(AND(OR($V13="",$V13=0),$X13="Глянець",$F13=19,$H13=2),$AI13*Прайс!$G$75,IF(AND(OR($V13="",$V13=0),$X13="Софт(TS)",$F13=19,$H13=2),$AI13*Прайс!$G$74,IF(AND(OR($V13="",$V13=0),$X13="Матове покриття з патиною",$F13=19,$H13=2),$AI13*Прайс!$G$77,IF(AND(OR($V13="",$V13=0),$X13="Глянцеве покриття з патиною",$F13=19,$H13=2),$AI13*Прайс!$G$78,IF(AND(OR($V13="",$V13=0),$X13="Матовий DECAPE",$F13=19,$H13=2),$AI13*Прайс!$G$79,IF(AND(OR($V13="",$V13=0),$X13="Глянцевий DECAPE",$F13=19,$H13=2),$AI13*Прайс!$G$78,0)))))))))+IF(AND($S13=1,OR($H13=1,$H13=0),$X13=Наименование!$L$12,$F13=19),$AI13*Прайс!$F$89,IF(AND($S13=1,OR($H13=1,$H13=0),$X13=Наименование!$L$13,$F13=19),$AI13*Прайс!$F$90,IF(AND($S13=1,OR($H13=1,$H13=0),$X13=Наименование!$L23,$F13=19),$AI13*Прайс!$F$91,IF(AND($S13=1,OR($H13=1,$H13=0),$X13=Наименование!$L$15,$F13=19),$AI13*Прайс!$F$92,0))))+IF(AND($S13=1,$H13=2,$X13=Наименование!$L$12,$F13=19),$AI13*Прайс!$G$89,IF(AND($S13=1,$H13=2,$X13=Наименование!$L$13,$F13=19),$AI13*Прайс!$G$90,IF(AND($S13=1,$H13=2,$X13=Наименование!$L$14,$F13=19),$AI13*Прайс!$G$91,IF(AND($S13=1,$H13=2,$X13=Наименование!$L$15,$F13=19),$AI13*Прайс!$G$92))))</f>
        <v>0</v>
      </c>
      <c r="AB13" s="195">
        <f>IF($G13="Гладкий",IF(OR($C13=0,$C13=""),0,IF($Y13="Матове",$AI13*(Прайс!$D$10-500),IF($Y13="Глянець",$AI13*(Прайс!$D$11-500),IF($Y13="Софт(TS)",$AI13*(Прайс!#REF!-500),0)))),0)+IF($G13="Гладкий",0,IF(AND($Y13="Матове",$H13=1),$AI13*Прайс!$D$73*0.5,IF(AND($Y13="Глянець",$H13=1),$AI13*Прайс!$D$75*0.5,IF(AND($Y13="Софт(TS)",$H13=1),$AI13*Прайс!$D$74*0.5,IF(AND($Y13="Матове покриття з патиною",$H13=1),$AI13*Прайс!$D$77*0.5,IF(AND($Y13="Глянцеве покриття з патиною",$H13=1),$AI13*Прайс!$D$78*0.5,IF(AND($Y13="Матовий DECAPE",$H13=1),$AI13*Прайс!$D$79*0.5,IF(AND($Y13="Глянцевий DECAPE",$H13=1),$AI13*Прайс!$D$80*0.5,0))))))))+IF($G13="Гладкий",0,IF(AND($Y13="Матове",$H13=2),$AI13*Прайс!$E$73*0.5,IF(AND($Y13="Глянець",$H13=2),$AI13*Прайс!$E$75*0.5,IF(AND($Y13="Софт(TS)",$H13=2),$AI13*Прайс!$E$74*0.5,IF(AND($Y13="Матове покриття з патиною",$H13=2),$AI13*Прайс!$E$77*0.5,IF(AND($Y13="Глянцеве покриття з патиною",$H13=2),$AI13*Прайс!$E$78*0.5,IF(AND($Y13="Матовий DECAPE",$H13=2),$AI13*Прайс!$E$79*0.5,IF(AND($Y13="Глянцевий DECAPE",$H13=2),$AI13*Прайс!$E$80*0.5,0)))))))+IF(AND($S13=1,OR($H13=1,$H13=0),$Y13=Прайс!$C$89),$AI13*[1]Прайс!$D$74*0.5,IF(AND($S13=1,OR($H13=1,$H13=0),$Y13=Прайс!$C$90),$AI13*Прайс!$D$90*0.5,IF(AND($S13=1,OR($H13=1,$H13=0),$Y13=Прайс!$C$91),$AI13*Прайс!$D$91*0.5,IF(AND($S13=1,OR($H13=1,$H13=0),$Y13=Прайс!$C$92),$AI13*Прайс!$D$92*0.5,0))))+IF(AND($S13=1,$H13=2,$Y13=Прайс!$C$89),$AI13*Прайс!$E$89*0.5,IF(AND($S13=1,$H13=2,$Y13=Прайс!$C$90),$AI13*Прайс!$E$90*0.5,IF(AND($S13=1,$H13=2,$Y13=Прайс!$C$91),$AI13*Прайс!$E$91*0.5,IF(AND($S13=1,$H13=2,$Y13=Прайс!$C$92),$AI13*Прайс!$E$92*0.5,0)))))</f>
        <v>0</v>
      </c>
      <c r="AC13" s="197" t="str">
        <f>IF(Бланк!AD30="","",Бланк!AD30*E13)</f>
        <v/>
      </c>
      <c r="AD13" s="195">
        <f>IF(OR($AC13=0,$AC13=""),0,$AC13*Прайс!$D$111)</f>
        <v>0</v>
      </c>
      <c r="AE13" s="197" t="str">
        <f>IF(Бланк!AE30="","",Бланк!AE30)</f>
        <v/>
      </c>
      <c r="AF13" s="197" t="str">
        <f>IF(Бланк!AF30="","",Бланк!AF30)</f>
        <v/>
      </c>
      <c r="AG13" s="197" t="str">
        <f>IF(Бланк!AG30="","",Бланк!AG30)</f>
        <v/>
      </c>
      <c r="AH13" s="197" t="str">
        <f>IF(Бланк!AH30="","",Бланк!AH30)</f>
        <v/>
      </c>
      <c r="AI13" s="139">
        <f>IF(Бланк!$AI30="","",Бланк!$AI30)</f>
        <v>0</v>
      </c>
      <c r="AJ13" s="198"/>
      <c r="AK13" s="198"/>
      <c r="AL13" s="198"/>
      <c r="AM13" s="199"/>
      <c r="AN13" s="199"/>
      <c r="AO13" s="199"/>
      <c r="AP13" s="199"/>
      <c r="AQ13" s="200"/>
      <c r="AR13" s="190"/>
    </row>
    <row r="14" spans="1:45" s="202" customFormat="1" ht="21" customHeight="1" x14ac:dyDescent="0.3">
      <c r="B14" s="201">
        <v>11</v>
      </c>
      <c r="C14" s="192" t="str">
        <f>IF(Бланк!$C31="","",Бланк!$C31/1000)</f>
        <v/>
      </c>
      <c r="D14" s="192" t="str">
        <f>IF(Бланк!$D31="","",Бланк!$D31/1000)</f>
        <v/>
      </c>
      <c r="E14" s="192" t="str">
        <f>IF(Бланк!$E31="","",Бланк!$E31)</f>
        <v/>
      </c>
      <c r="F14" s="192" t="str">
        <f>IF(Бланк!$F31="","",Бланк!$F31)</f>
        <v/>
      </c>
      <c r="G14" s="192" t="str">
        <f>IF(Бланк!$G31="","",Бланк!$G31)</f>
        <v/>
      </c>
      <c r="H14" s="193" t="str">
        <f>IF($G14="","",VLOOKUP($G14,Наименование!$M$42:$N$95,2,FALSE))</f>
        <v/>
      </c>
      <c r="I14" s="192" t="str">
        <f>IF(Бланк!$H31="","",Бланк!$H31)</f>
        <v/>
      </c>
      <c r="J14" s="192" t="str">
        <f>IF(Бланк!$I31="","",Бланк!$I31)</f>
        <v/>
      </c>
      <c r="K14" s="194" t="str">
        <f>IF(OR($J14="",$J14=0),"",IF($J14="Пряма з чвертю",(Прайс!$D$106+Прайс!$D$109)*Просчет!$E14,IF($J14="Пряма без чверті",Прайс!$D$106*Просчет!$E14,IF(AND($J14="Шпрос з чвертю",OR($C14&lt;1,$C14=1)),(Прайс!$D$37+Прайс!$D$40)*Просчет!$E14,IF(AND($J14="Шпрос з чвертю",$C14&gt;1),(Прайс!$F$37+Прайс!$D$40)*Просчет!$E14,IF(AND($J14="Шпрос без чверті",OR($C14&lt;1,$C14=1)),Прайс!$D$37*Просчет!$E14,IF(AND($J14="Шпрос без чверті",$C14&gt;1),Прайс!$F$37*Просчет!$E14,"")))))))</f>
        <v/>
      </c>
      <c r="L14" s="192" t="str">
        <f>IF(Бланк!$J31="","",Бланк!$J31/1000)</f>
        <v/>
      </c>
      <c r="M14" s="192" t="str">
        <f>IF(Бланк!$K31="","",Бланк!$K31)</f>
        <v/>
      </c>
      <c r="N14" s="195">
        <f t="shared" si="0"/>
        <v>0</v>
      </c>
      <c r="O14" s="194">
        <f>IF($G14="гладкий",IF($M14="","",IF(OR($M14="J № 1",$M14="J № 2",$M14="J № 2L",$M14="J № 2R",$M14="AJ № 2",$M14="AJ № 2L",$M14="AJ № 2R",$M14="U",$M14="V"),$N14*Прайс!$D$43,IF(OR($M14="AJ № 3R",$M14="AJ № 4R",$M14="AJ № 5R",$M14="AJ № 3L",$M14="AJ № 4L",$M14="AJ № 5L",$M14="AJ № 3",$M14="AJ № 4",$M14="AJ № 5",$M14="J № 3",$M14="J № 4",$M14="J № 5",$M14="J № 6",$M14="J № 7",$M14="L",$M14="AL"),Прайс!$D$43*$E14,IF(OR($M14="J № 3L",$M14="J № 3R",$M14="J № 4L",$M14="J № 4R",$M14="J № 5L",$M14="J № 5R"),$N14/2*Прайс!$D$47*$E14,IF($M14="45 град.",$N14*Прайс!$D$42,0))))),0)</f>
        <v>0</v>
      </c>
      <c r="P14" s="192" t="str">
        <f>IF(Бланк!$L31="","",Бланк!$L31)</f>
        <v/>
      </c>
      <c r="Q14" s="192" t="str">
        <f>IF(Бланк!$M31="","",Бланк!$M31)</f>
        <v/>
      </c>
      <c r="R14" s="194">
        <f>IF($P14="",0,IF($Q14=$U14,0,IF($Q14="",0,IF(OR($G14=35,$G14=36,$G14=37,$G14=38),Прайс!$D$118*Бланк!E31,IF(AND($G14="гладкий",OR($M14="J № 1",$M14="J № 2",$M14="J № 2L",$M14="J № 2R")),$N14*Прайс!$D$59,0)))))</f>
        <v>0</v>
      </c>
      <c r="S14" s="192" t="str">
        <f>IF(OR(Бланк!$O31=0,Бланк!$O31=""),"",1)</f>
        <v/>
      </c>
      <c r="T14" s="192" t="str">
        <f>IF(Бланк!$R31="","",Бланк!$R31)</f>
        <v/>
      </c>
      <c r="U14" s="192" t="str">
        <f>IF(Бланк!$S31="","",Бланк!$S31)</f>
        <v/>
      </c>
      <c r="V14" s="192" t="str">
        <f>IF(Бланк!$T31="","",Бланк!$T31)</f>
        <v/>
      </c>
      <c r="W14" s="196" t="str">
        <f>IF(Бланк!$W31="","",Бланк!$W31)</f>
        <v/>
      </c>
      <c r="X14" s="197" t="str">
        <f>IF(Бланк!AB31="","",Бланк!AB31)</f>
        <v/>
      </c>
      <c r="Y14" s="197" t="str">
        <f>IF(Бланк!AC31="","",Бланк!AC31)</f>
        <v/>
      </c>
      <c r="Z14" s="195">
        <f>IF($G14="Гладкий",IF(OR($C14=0,$C14=""),0,IF(AND(OR($V14="Перли",$V14="Металік",$V14="Перл.зол.",$V14="Перл.ср.",$V14="Перл.зол.",$V14="Зор.н.ср.",$V14="Зор.н.зол.",$V14="Зор.н.різн.",$V14="Гума"),OR($F14=4,$F14=6,$F14=8,$F14=10,$F14=16)),$AI14*Прайс!$D$12,IF(AND(OR($V14="",$V14=0),$X14="Матове",OR($F14=4,$F14=6,$F14=8,$F14=10,$F14=16)),$AI14*Прайс!$D$10,IF(AND(OR($V14="",$V14=0),$X14="Глянець",OR($F14=4,$F14=6,$F14=8,$F14=10,$F14=16)),$AI14*Прайс!$D$11,IF(AND(OR($V14="",$V14=0),$X14="Софт(TS)",OR($F14=4,$F14=6,$F14=8,$F14=10,$F14=16)),$AI14*Прайс!#REF!,0))))),0)+IF($G14="Гладкий",0,IF(AND(OR($V14="Перли",$V14="Металік",$V14="Перл.зол.",$V14="Перл.ср.",$V14="Перл.зол.",$V14="Зор.н.ср.",$V14="Зор.н.зол.",$V14="Зор.н.різн.",$V14="Гума"),OR($F14=4,$F14=6,$F14=8,$F14=10,$F14=16),$H14=1),Просчет!$AI14*Прайс!$D$76,IF(AND(OR($V14="",$V14=0),$X14="Матове",OR($F14=4,$F14=6,$F14=8,$F14=10,$F14=16),$H14=1),Просчет!$AI14*Прайс!$D$73,IF(AND(OR($V14="",$V14=0),$X14="Глянець",OR($F14=4,$F14=6,$F14=8,$F14=10,$F14=16),$H14=1),Просчет!$AI14*Прайс!$D$75,IF(AND(OR($V14="",$V14=0),$G14="Софт(TS)",OR($F14=4,$F14=6,$F14=8,$F14=10,$F14=16),$H14=1),$AI14*Прайс!$D$74,IF(AND(OR($V14="",$V14=0),$X14="Матове покриття з патиною",OR($F14=4,$F14=6,$F14=8,$F14=10,$F14=16),$H14=1),$AI14*Прайс!$D$77,IF(AND(OR($V14="",$V14=0),$X14="Глянцеве покриття з патиною",OR($F14=4,$F14=6,$F14=8,$F14=10,$F14=16),$H14=1),$AI14*Прайс!$D$78,IF(AND(OR($V14="",$V14=0),$X14="Матовий DECAPE",OR($F14=4,$F14=6,$F14=8,$F14=10,$F14=16),$H14=1),$AI14*Прайс!$D$79,IF(AND(OR($V14="",$V14=0),$X14="Глянцевий DECAPE",OR($F14=4,$F14=6,$F14=8,$F14=10,$F14=16),$H14=1),$AI14*Прайс!$D$80,0)))))))))+IF($G14="Гладкий",0,IF(AND(OR($V14="Перли",$V14="Металік",$V14="Перл.зол.",$V14="Перл.ср.",$V14="Перл.зол.",$V14="Зор.н.ср.",$V14="Зор.н.зол.",$V14="Зор.н.різн.",$V14="Гума"),OR($F14=4,$F14=6,$F14=8,$F14=10,$F14=16),$H14=2),$AI14*Прайс!$E$76,IF(AND(OR($V14="",$V14=0),$X14="Матове",OR($F14=4,$F14=6,$F14=8,$F14=10,$F14=16),$H14=2),Просчет!$AI14*Прайс!$E$73,IF(AND(OR($V14="",$V14=0),$X14="Глянець",OR($F14=4,$F14=6,$F14=8,$F14=10,$F14=16),$H14=2),$AI14*Прайс!$E$75,IF(AND(OR($V14="",$V14=0),$X14="Софт(TS)",OR($F14=4,$F14=6,$F14=8,$F14=10,$F14=16),$H14=2),$AI14*Прайс!$E$74,IF(AND(OR($V14="",$V14=0),$X14="Матове покриття з патиною",OR($F14=4,$F14=6,$F14=8,$F14=10,$F14=16),$H14=2),$AI14*Прайс!$E$77,IF(AND(OR($V14="",$V14=0),$X14="Глянцеве покриття з патиною",OR($F14=4,$F14=6,$F14=8,$F14=10,$F14=16),$H14=2),$AI14*Прайс!$E$78,IF(AND(OR($V14="",$V14=0),$X14="Матовий DECAPE",OR($F14=4,$F14=6,$F14=8,$F14=10,$F14=16),$H14=2),$AI14*Прайс!$E$79,IF(AND(OR($V14="",$V14=0),$X14="Глянцевий DECAPE",OR($F14=4,$F14=6,$F14=8,$F14=10,$F14=16),$H14=2),$AI14*Прайс!$E$80,0)))))))))+IF(AND($S14=1,OR($H14=1,$H14=0),$X14=Наименование!$L$12,OR($F14=4,$F14=6,$F14=8,$F14=10,$F14=16)),$AI14*Прайс!$D$89,IF(AND($S14=1,OR($H14=1,$H14=0),$X14=Наименование!$L$13,OR($F14=4,$F14=6,$F14=8,$F14=10,$F14=16)),$AI14*Прайс!$D$90,IF(AND($S14=1,OR($H14=1,$H14=0),$X14=Наименование!$L24,OR($F14=4,$F14=6,$F14=8,$F14=10,$F14=16)),$AI14*Прайс!$D$91,IF(AND($S14=1,OR($H14=1,$H14=0),$X14=Наименование!$L$15,OR($F14=4,$F14=6,$F14=8,$F14=10,$F14=16)),$AI14*Прайс!$D$92,0))))+IF(AND($S14=1,$H14=2,$X14=Наименование!$L$12,OR($F14=4,$F14=6,$F14=8,$F14=10,$F14=16)),$AI14*Прайс!$E$89,IF(AND($S14=1,$H14=2,$X14=Наименование!$L$13,OR($F14=4,$F14=6,$F14=8,$F14=10,$F14=16)),$AI14*Прайс!$E$90,IF(AND($S14=1,$H14=2,$X14=Наименование!$L$14,OR($F14=4,$F14=6,$F14=8,$F14=10,$F14=16)),$AI14*Прайс!$E$91,IF(AND($S14=1,$H14=2,$X14=Наименование!$L$15,OR($F14=4,$F14=6,$F14=8,$F14=10,$F14=16)),$AI14*Прайс!$E$92))))</f>
        <v>0</v>
      </c>
      <c r="AA14" s="195">
        <f>IF($G14="Гладкий",IF(OR($C14=0,$C14=""),0,IF(AND(OR($V14="Перли",$V14="Металік",$V14="Перл.зол.",$V14="Перл.ср.",$V14="Перл.зол.",$V14="Зор.н.ср.",$V14="Зор.н.зол.",$V14="Зор.н.різн.",$V14="Гума"),$F14=19),$AI14*Прайс!$E$12,IF(AND(OR($V14="",$V14=0),$X14="Матове",$F14=19),$AI14*Прайс!$E$10,IF(AND(OR($V14="",$V14=0),$X14="Глянець",$F14=19),$AI14*Прайс!$E$11,IF(AND(OR($V14="",$V14=0),$X14="Софт(TS)",$F14=19),$AI14*Прайс!#REF!,0))))),0)+IF($G14="Гладкий",0,IF(AND(OR($V14="Перли",$V14="Металік",$V14="Перл.зол.",$V14="Перл.ср.",$V14="Перл.зол.",$V14="Зор.н.ср.",$V14="Зор.н.зол.",$V14="Зор.н.різн.",$V14="Гума"),$F14=19,$H14=1),Просчет!$AI14*Прайс!$F$76,IF(AND(OR($V14="",$V14=0),$X14="Матове",$F14=19,$H14=1),Просчет!$AI14*Прайс!$F$73,IF(AND(OR($V14="",$V14=0),$X14="Глянець",$F14=19,$H14=1),Просчет!$AI14*Прайс!$F$75,IF(AND(OR($V14="",$V14=0),$G14="Софт(TS)",$F14=19,$H14=1),$AI14*Прайс!$F$74,IF(AND(OR($V14="",$V14=0),$X14="Матове покриття з патиною",$F14=19,$H14=1),$AI14*Прайс!$F$77,IF(AND(OR($V14="",$V14=0),$X14="Глянцеве покриття з патиною",$F14=19,$H14=1),$AI14*Прайс!$F$78,IF(AND(OR($V14="",$V14=0),$X14="Матовий DECAPE",$F14=19,$H14=1),$AI14*Прайс!$F$79,IF(AND(OR($V14="",$V14=0),$X14="Глянцевий DECAPE",$F14=19,$H14=1),$AI14*Прайс!$F$80,0)))))))))+IF($G14="Гладкий",0,IF(AND(OR($V14="Перли",$V14="Металік",$V14="Перл.зол.",$V14="Перл.ср.",$V14="Перл.зол.",$V14="Зор.н.ср.",$V14="Зор.н.зол.",$V14="Зор.н.різн.",$V14="Гума"),$F14=19,$H14=2),$AI14*Прайс!$G$76,IF(AND(OR($V14="",$V14=0),$X14="Матове",$F14=19,$H14=2),Просчет!$AI14*Прайс!$G$73,IF(AND(OR($V14="",$V14=0),$X14="Глянець",$F14=19,$H14=2),$AI14*Прайс!$G$75,IF(AND(OR($V14="",$V14=0),$X14="Софт(TS)",$F14=19,$H14=2),$AI14*Прайс!$G$74,IF(AND(OR($V14="",$V14=0),$X14="Матове покриття з патиною",$F14=19,$H14=2),$AI14*Прайс!$G$77,IF(AND(OR($V14="",$V14=0),$X14="Глянцеве покриття з патиною",$F14=19,$H14=2),$AI14*Прайс!$G$78,IF(AND(OR($V14="",$V14=0),$X14="Матовий DECAPE",$F14=19,$H14=2),$AI14*Прайс!$G$79,IF(AND(OR($V14="",$V14=0),$X14="Глянцевий DECAPE",$F14=19,$H14=2),$AI14*Прайс!$G$78,0)))))))))+IF(AND($S14=1,OR($H14=1,$H14=0),$X14=Наименование!$L$12,$F14=19),$AI14*Прайс!$F$89,IF(AND($S14=1,OR($H14=1,$H14=0),$X14=Наименование!$L$13,$F14=19),$AI14*Прайс!$F$90,IF(AND($S14=1,OR($H14=1,$H14=0),$X14=Наименование!$L24,$F14=19),$AI14*Прайс!$F$91,IF(AND($S14=1,OR($H14=1,$H14=0),$X14=Наименование!$L$15,$F14=19),$AI14*Прайс!$F$92,0))))+IF(AND($S14=1,$H14=2,$X14=Наименование!$L$12,$F14=19),$AI14*Прайс!$G$89,IF(AND($S14=1,$H14=2,$X14=Наименование!$L$13,$F14=19),$AI14*Прайс!$G$90,IF(AND($S14=1,$H14=2,$X14=Наименование!$L$14,$F14=19),$AI14*Прайс!$G$91,IF(AND($S14=1,$H14=2,$X14=Наименование!$L$15,$F14=19),$AI14*Прайс!$G$92))))</f>
        <v>0</v>
      </c>
      <c r="AB14" s="195">
        <f>IF($G14="Гладкий",IF(OR($C14=0,$C14=""),0,IF($Y14="Матове",$AI14*(Прайс!$D$10-500),IF($Y14="Глянець",$AI14*(Прайс!$D$11-500),IF($Y14="Софт(TS)",$AI14*(Прайс!#REF!-500),0)))),0)+IF($G14="Гладкий",0,IF(AND($Y14="Матове",$H14=1),$AI14*Прайс!$D$73*0.5,IF(AND($Y14="Глянець",$H14=1),$AI14*Прайс!$D$75*0.5,IF(AND($Y14="Софт(TS)",$H14=1),$AI14*Прайс!$D$74*0.5,IF(AND($Y14="Матове покриття з патиною",$H14=1),$AI14*Прайс!$D$77*0.5,IF(AND($Y14="Глянцеве покриття з патиною",$H14=1),$AI14*Прайс!$D$78*0.5,IF(AND($Y14="Матовий DECAPE",$H14=1),$AI14*Прайс!$D$79*0.5,IF(AND($Y14="Глянцевий DECAPE",$H14=1),$AI14*Прайс!$D$80*0.5,0))))))))+IF($G14="Гладкий",0,IF(AND($Y14="Матове",$H14=2),$AI14*Прайс!$E$73*0.5,IF(AND($Y14="Глянець",$H14=2),$AI14*Прайс!$E$75*0.5,IF(AND($Y14="Софт(TS)",$H14=2),$AI14*Прайс!$E$74*0.5,IF(AND($Y14="Матове покриття з патиною",$H14=2),$AI14*Прайс!$E$77*0.5,IF(AND($Y14="Глянцеве покриття з патиною",$H14=2),$AI14*Прайс!$E$78*0.5,IF(AND($Y14="Матовий DECAPE",$H14=2),$AI14*Прайс!$E$79*0.5,IF(AND($Y14="Глянцевий DECAPE",$H14=2),$AI14*Прайс!$E$80*0.5,0)))))))+IF(AND($S14=1,OR($H14=1,$H14=0),$Y14=Прайс!$C$89),$AI14*[1]Прайс!$D$74*0.5,IF(AND($S14=1,OR($H14=1,$H14=0),$Y14=Прайс!$C$90),$AI14*Прайс!$D$90*0.5,IF(AND($S14=1,OR($H14=1,$H14=0),$Y14=Прайс!$C$91),$AI14*Прайс!$D$91*0.5,IF(AND($S14=1,OR($H14=1,$H14=0),$Y14=Прайс!$C$92),$AI14*Прайс!$D$92*0.5,0))))+IF(AND($S14=1,$H14=2,$Y14=Прайс!$C$89),$AI14*Прайс!$E$89*0.5,IF(AND($S14=1,$H14=2,$Y14=Прайс!$C$90),$AI14*Прайс!$E$90*0.5,IF(AND($S14=1,$H14=2,$Y14=Прайс!$C$91),$AI14*Прайс!$E$91*0.5,IF(AND($S14=1,$H14=2,$Y14=Прайс!$C$92),$AI14*Прайс!$E$92*0.5,0)))))</f>
        <v>0</v>
      </c>
      <c r="AC14" s="197" t="str">
        <f>IF(Бланк!AD31="","",Бланк!AD31*E14)</f>
        <v/>
      </c>
      <c r="AD14" s="195">
        <f>IF(OR($AC14=0,$AC14=""),0,$AC14*Прайс!$D$111)</f>
        <v>0</v>
      </c>
      <c r="AE14" s="197" t="str">
        <f>IF(Бланк!AE31="","",Бланк!AE31)</f>
        <v/>
      </c>
      <c r="AF14" s="197" t="str">
        <f>IF(Бланк!AF31="","",Бланк!AF31)</f>
        <v/>
      </c>
      <c r="AG14" s="197" t="str">
        <f>IF(Бланк!AG31="","",Бланк!AG31)</f>
        <v/>
      </c>
      <c r="AH14" s="197" t="str">
        <f>IF(Бланк!AH31="","",Бланк!AH31)</f>
        <v/>
      </c>
      <c r="AI14" s="139">
        <f>IF(Бланк!$AI31="","",Бланк!$AI31)</f>
        <v>0</v>
      </c>
      <c r="AJ14" s="198"/>
      <c r="AK14" s="198"/>
      <c r="AL14" s="198"/>
      <c r="AM14" s="199"/>
      <c r="AN14" s="199"/>
      <c r="AO14" s="199"/>
      <c r="AP14" s="199"/>
      <c r="AQ14" s="200"/>
      <c r="AR14" s="190"/>
    </row>
    <row r="15" spans="1:45" s="202" customFormat="1" ht="21" customHeight="1" x14ac:dyDescent="0.3">
      <c r="B15" s="201">
        <v>12</v>
      </c>
      <c r="C15" s="192" t="str">
        <f>IF(Бланк!$C32="","",Бланк!$C32/1000)</f>
        <v/>
      </c>
      <c r="D15" s="192" t="str">
        <f>IF(Бланк!$D32="","",Бланк!$D32/1000)</f>
        <v/>
      </c>
      <c r="E15" s="192" t="str">
        <f>IF(Бланк!$E32="","",Бланк!$E32)</f>
        <v/>
      </c>
      <c r="F15" s="192" t="str">
        <f>IF(Бланк!$F32="","",Бланк!$F32)</f>
        <v/>
      </c>
      <c r="G15" s="192" t="str">
        <f>IF(Бланк!$G32="","",Бланк!$G32)</f>
        <v/>
      </c>
      <c r="H15" s="193" t="str">
        <f>IF($G15="","",VLOOKUP($G15,Наименование!$M$42:$N$95,2,FALSE))</f>
        <v/>
      </c>
      <c r="I15" s="192" t="str">
        <f>IF(Бланк!$H32="","",Бланк!$H32)</f>
        <v/>
      </c>
      <c r="J15" s="192" t="str">
        <f>IF(Бланк!$I32="","",Бланк!$I32)</f>
        <v/>
      </c>
      <c r="K15" s="194" t="str">
        <f>IF(OR($J15="",$J15=0),"",IF($J15="Пряма з чвертю",(Прайс!$D$106+Прайс!$D$109)*Просчет!$E15,IF($J15="Пряма без чверті",Прайс!$D$106*Просчет!$E15,IF(AND($J15="Шпрос з чвертю",OR($C15&lt;1,$C15=1)),(Прайс!$D$37+Прайс!$D$40)*Просчет!$E15,IF(AND($J15="Шпрос з чвертю",$C15&gt;1),(Прайс!$F$37+Прайс!$D$40)*Просчет!$E15,IF(AND($J15="Шпрос без чверті",OR($C15&lt;1,$C15=1)),Прайс!$D$37*Просчет!$E15,IF(AND($J15="Шпрос без чверті",$C15&gt;1),Прайс!$F$37*Просчет!$E15,"")))))))</f>
        <v/>
      </c>
      <c r="L15" s="192" t="str">
        <f>IF(Бланк!$J32="","",Бланк!$J32/1000)</f>
        <v/>
      </c>
      <c r="M15" s="192" t="str">
        <f>IF(Бланк!$K32="","",Бланк!$K32)</f>
        <v/>
      </c>
      <c r="N15" s="195">
        <f t="shared" si="0"/>
        <v>0</v>
      </c>
      <c r="O15" s="194">
        <f>IF($G15="гладкий",IF($M15="","",IF(OR($M15="J № 1",$M15="J № 2",$M15="J № 2L",$M15="J № 2R",$M15="AJ № 2",$M15="AJ № 2L",$M15="AJ № 2R",$M15="U",$M15="V"),$N15*Прайс!$D$43,IF(OR($M15="AJ № 3R",$M15="AJ № 4R",$M15="AJ № 5R",$M15="AJ № 3L",$M15="AJ № 4L",$M15="AJ № 5L",$M15="AJ № 3",$M15="AJ № 4",$M15="AJ № 5",$M15="J № 3",$M15="J № 4",$M15="J № 5",$M15="J № 6",$M15="J № 7",$M15="L",$M15="AL"),Прайс!$D$43*$E15,IF(OR($M15="J № 3L",$M15="J № 3R",$M15="J № 4L",$M15="J № 4R",$M15="J № 5L",$M15="J № 5R"),$N15/2*Прайс!$D$47*$E15,IF($M15="45 град.",$N15*Прайс!$D$42,0))))),0)</f>
        <v>0</v>
      </c>
      <c r="P15" s="192" t="str">
        <f>IF(Бланк!$L32="","",Бланк!$L32)</f>
        <v/>
      </c>
      <c r="Q15" s="192" t="str">
        <f>IF(Бланк!$M32="","",Бланк!$M32)</f>
        <v/>
      </c>
      <c r="R15" s="194">
        <f>IF($P15="",0,IF($Q15=$U15,0,IF($Q15="",0,IF(OR($G15=35,$G15=36,$G15=37,$G15=38),Прайс!$D$118*Бланк!E32,IF(AND($G15="гладкий",OR($M15="J № 1",$M15="J № 2",$M15="J № 2L",$M15="J № 2R")),$N15*Прайс!$D$59,0)))))</f>
        <v>0</v>
      </c>
      <c r="S15" s="192" t="str">
        <f>IF(OR(Бланк!$O32=0,Бланк!$O32=""),"",1)</f>
        <v/>
      </c>
      <c r="T15" s="192" t="str">
        <f>IF(Бланк!$R32="","",Бланк!$R32)</f>
        <v/>
      </c>
      <c r="U15" s="192" t="str">
        <f>IF(Бланк!$S32="","",Бланк!$S32)</f>
        <v/>
      </c>
      <c r="V15" s="192" t="str">
        <f>IF(Бланк!$T32="","",Бланк!$T32)</f>
        <v/>
      </c>
      <c r="W15" s="196" t="str">
        <f>IF(Бланк!$W32="","",Бланк!$W32)</f>
        <v/>
      </c>
      <c r="X15" s="197" t="str">
        <f>IF(Бланк!AB32="","",Бланк!AB32)</f>
        <v/>
      </c>
      <c r="Y15" s="197" t="str">
        <f>IF(Бланк!AC32="","",Бланк!AC32)</f>
        <v/>
      </c>
      <c r="Z15" s="195">
        <f>IF($G15="Гладкий",IF(OR($C15=0,$C15=""),0,IF(AND(OR($V15="Перли",$V15="Металік",$V15="Перл.зол.",$V15="Перл.ср.",$V15="Перл.зол.",$V15="Зор.н.ср.",$V15="Зор.н.зол.",$V15="Зор.н.різн.",$V15="Гума"),OR($F15=4,$F15=6,$F15=8,$F15=10,$F15=16)),$AI15*Прайс!$D$12,IF(AND(OR($V15="",$V15=0),$X15="Матове",OR($F15=4,$F15=6,$F15=8,$F15=10,$F15=16)),$AI15*Прайс!$D$10,IF(AND(OR($V15="",$V15=0),$X15="Глянець",OR($F15=4,$F15=6,$F15=8,$F15=10,$F15=16)),$AI15*Прайс!$D$11,IF(AND(OR($V15="",$V15=0),$X15="Софт(TS)",OR($F15=4,$F15=6,$F15=8,$F15=10,$F15=16)),$AI15*Прайс!#REF!,0))))),0)+IF($G15="Гладкий",0,IF(AND(OR($V15="Перли",$V15="Металік",$V15="Перл.зол.",$V15="Перл.ср.",$V15="Перл.зол.",$V15="Зор.н.ср.",$V15="Зор.н.зол.",$V15="Зор.н.різн.",$V15="Гума"),OR($F15=4,$F15=6,$F15=8,$F15=10,$F15=16),$H15=1),Просчет!$AI15*Прайс!$D$76,IF(AND(OR($V15="",$V15=0),$X15="Матове",OR($F15=4,$F15=6,$F15=8,$F15=10,$F15=16),$H15=1),Просчет!$AI15*Прайс!$D$73,IF(AND(OR($V15="",$V15=0),$X15="Глянець",OR($F15=4,$F15=6,$F15=8,$F15=10,$F15=16),$H15=1),Просчет!$AI15*Прайс!$D$75,IF(AND(OR($V15="",$V15=0),$G15="Софт(TS)",OR($F15=4,$F15=6,$F15=8,$F15=10,$F15=16),$H15=1),$AI15*Прайс!$D$74,IF(AND(OR($V15="",$V15=0),$X15="Матове покриття з патиною",OR($F15=4,$F15=6,$F15=8,$F15=10,$F15=16),$H15=1),$AI15*Прайс!$D$77,IF(AND(OR($V15="",$V15=0),$X15="Глянцеве покриття з патиною",OR($F15=4,$F15=6,$F15=8,$F15=10,$F15=16),$H15=1),$AI15*Прайс!$D$78,IF(AND(OR($V15="",$V15=0),$X15="Матовий DECAPE",OR($F15=4,$F15=6,$F15=8,$F15=10,$F15=16),$H15=1),$AI15*Прайс!$D$79,IF(AND(OR($V15="",$V15=0),$X15="Глянцевий DECAPE",OR($F15=4,$F15=6,$F15=8,$F15=10,$F15=16),$H15=1),$AI15*Прайс!$D$80,0)))))))))+IF($G15="Гладкий",0,IF(AND(OR($V15="Перли",$V15="Металік",$V15="Перл.зол.",$V15="Перл.ср.",$V15="Перл.зол.",$V15="Зор.н.ср.",$V15="Зор.н.зол.",$V15="Зор.н.різн.",$V15="Гума"),OR($F15=4,$F15=6,$F15=8,$F15=10,$F15=16),$H15=2),$AI15*Прайс!$E$76,IF(AND(OR($V15="",$V15=0),$X15="Матове",OR($F15=4,$F15=6,$F15=8,$F15=10,$F15=16),$H15=2),Просчет!$AI15*Прайс!$E$73,IF(AND(OR($V15="",$V15=0),$X15="Глянець",OR($F15=4,$F15=6,$F15=8,$F15=10,$F15=16),$H15=2),$AI15*Прайс!$E$75,IF(AND(OR($V15="",$V15=0),$X15="Софт(TS)",OR($F15=4,$F15=6,$F15=8,$F15=10,$F15=16),$H15=2),$AI15*Прайс!$E$74,IF(AND(OR($V15="",$V15=0),$X15="Матове покриття з патиною",OR($F15=4,$F15=6,$F15=8,$F15=10,$F15=16),$H15=2),$AI15*Прайс!$E$77,IF(AND(OR($V15="",$V15=0),$X15="Глянцеве покриття з патиною",OR($F15=4,$F15=6,$F15=8,$F15=10,$F15=16),$H15=2),$AI15*Прайс!$E$78,IF(AND(OR($V15="",$V15=0),$X15="Матовий DECAPE",OR($F15=4,$F15=6,$F15=8,$F15=10,$F15=16),$H15=2),$AI15*Прайс!$E$79,IF(AND(OR($V15="",$V15=0),$X15="Глянцевий DECAPE",OR($F15=4,$F15=6,$F15=8,$F15=10,$F15=16),$H15=2),$AI15*Прайс!$E$80,0)))))))))+IF(AND($S15=1,OR($H15=1,$H15=0),$X15=Наименование!$L$12,OR($F15=4,$F15=6,$F15=8,$F15=10,$F15=16)),$AI15*Прайс!$D$89,IF(AND($S15=1,OR($H15=1,$H15=0),$X15=Наименование!$L$13,OR($F15=4,$F15=6,$F15=8,$F15=10,$F15=16)),$AI15*Прайс!$D$90,IF(AND($S15=1,OR($H15=1,$H15=0),$X15=Наименование!$L25,OR($F15=4,$F15=6,$F15=8,$F15=10,$F15=16)),$AI15*Прайс!$D$91,IF(AND($S15=1,OR($H15=1,$H15=0),$X15=Наименование!$L$15,OR($F15=4,$F15=6,$F15=8,$F15=10,$F15=16)),$AI15*Прайс!$D$92,0))))+IF(AND($S15=1,$H15=2,$X15=Наименование!$L$12,OR($F15=4,$F15=6,$F15=8,$F15=10,$F15=16)),$AI15*Прайс!$E$89,IF(AND($S15=1,$H15=2,$X15=Наименование!$L$13,OR($F15=4,$F15=6,$F15=8,$F15=10,$F15=16)),$AI15*Прайс!$E$90,IF(AND($S15=1,$H15=2,$X15=Наименование!$L$14,OR($F15=4,$F15=6,$F15=8,$F15=10,$F15=16)),$AI15*Прайс!$E$91,IF(AND($S15=1,$H15=2,$X15=Наименование!$L$15,OR($F15=4,$F15=6,$F15=8,$F15=10,$F15=16)),$AI15*Прайс!$E$92))))</f>
        <v>0</v>
      </c>
      <c r="AA15" s="195">
        <f>IF($G15="Гладкий",IF(OR($C15=0,$C15=""),0,IF(AND(OR($V15="Перли",$V15="Металік",$V15="Перл.зол.",$V15="Перл.ср.",$V15="Перл.зол.",$V15="Зор.н.ср.",$V15="Зор.н.зол.",$V15="Зор.н.різн.",$V15="Гума"),$F15=19),$AI15*Прайс!$E$12,IF(AND(OR($V15="",$V15=0),$X15="Матове",$F15=19),$AI15*Прайс!$E$10,IF(AND(OR($V15="",$V15=0),$X15="Глянець",$F15=19),$AI15*Прайс!$E$11,IF(AND(OR($V15="",$V15=0),$X15="Софт(TS)",$F15=19),$AI15*Прайс!#REF!,0))))),0)+IF($G15="Гладкий",0,IF(AND(OR($V15="Перли",$V15="Металік",$V15="Перл.зол.",$V15="Перл.ср.",$V15="Перл.зол.",$V15="Зор.н.ср.",$V15="Зор.н.зол.",$V15="Зор.н.різн.",$V15="Гума"),$F15=19,$H15=1),Просчет!$AI15*Прайс!$F$76,IF(AND(OR($V15="",$V15=0),$X15="Матове",$F15=19,$H15=1),Просчет!$AI15*Прайс!$F$73,IF(AND(OR($V15="",$V15=0),$X15="Глянець",$F15=19,$H15=1),Просчет!$AI15*Прайс!$F$75,IF(AND(OR($V15="",$V15=0),$G15="Софт(TS)",$F15=19,$H15=1),$AI15*Прайс!$F$74,IF(AND(OR($V15="",$V15=0),$X15="Матове покриття з патиною",$F15=19,$H15=1),$AI15*Прайс!$F$77,IF(AND(OR($V15="",$V15=0),$X15="Глянцеве покриття з патиною",$F15=19,$H15=1),$AI15*Прайс!$F$78,IF(AND(OR($V15="",$V15=0),$X15="Матовий DECAPE",$F15=19,$H15=1),$AI15*Прайс!$F$79,IF(AND(OR($V15="",$V15=0),$X15="Глянцевий DECAPE",$F15=19,$H15=1),$AI15*Прайс!$F$80,0)))))))))+IF($G15="Гладкий",0,IF(AND(OR($V15="Перли",$V15="Металік",$V15="Перл.зол.",$V15="Перл.ср.",$V15="Перл.зол.",$V15="Зор.н.ср.",$V15="Зор.н.зол.",$V15="Зор.н.різн.",$V15="Гума"),$F15=19,$H15=2),$AI15*Прайс!$G$76,IF(AND(OR($V15="",$V15=0),$X15="Матове",$F15=19,$H15=2),Просчет!$AI15*Прайс!$G$73,IF(AND(OR($V15="",$V15=0),$X15="Глянець",$F15=19,$H15=2),$AI15*Прайс!$G$75,IF(AND(OR($V15="",$V15=0),$X15="Софт(TS)",$F15=19,$H15=2),$AI15*Прайс!$G$74,IF(AND(OR($V15="",$V15=0),$X15="Матове покриття з патиною",$F15=19,$H15=2),$AI15*Прайс!$G$77,IF(AND(OR($V15="",$V15=0),$X15="Глянцеве покриття з патиною",$F15=19,$H15=2),$AI15*Прайс!$G$78,IF(AND(OR($V15="",$V15=0),$X15="Матовий DECAPE",$F15=19,$H15=2),$AI15*Прайс!$G$79,IF(AND(OR($V15="",$V15=0),$X15="Глянцевий DECAPE",$F15=19,$H15=2),$AI15*Прайс!$G$78,0)))))))))+IF(AND($S15=1,OR($H15=1,$H15=0),$X15=Наименование!$L$12,$F15=19),$AI15*Прайс!$F$89,IF(AND($S15=1,OR($H15=1,$H15=0),$X15=Наименование!$L$13,$F15=19),$AI15*Прайс!$F$90,IF(AND($S15=1,OR($H15=1,$H15=0),$X15=Наименование!$L25,$F15=19),$AI15*Прайс!$F$91,IF(AND($S15=1,OR($H15=1,$H15=0),$X15=Наименование!$L$15,$F15=19),$AI15*Прайс!$F$92,0))))+IF(AND($S15=1,$H15=2,$X15=Наименование!$L$12,$F15=19),$AI15*Прайс!$G$89,IF(AND($S15=1,$H15=2,$X15=Наименование!$L$13,$F15=19),$AI15*Прайс!$G$90,IF(AND($S15=1,$H15=2,$X15=Наименование!$L$14,$F15=19),$AI15*Прайс!$G$91,IF(AND($S15=1,$H15=2,$X15=Наименование!$L$15,$F15=19),$AI15*Прайс!$G$92))))</f>
        <v>0</v>
      </c>
      <c r="AB15" s="195">
        <f>IF($G15="Гладкий",IF(OR($C15=0,$C15=""),0,IF($Y15="Матове",$AI15*(Прайс!$D$10-500),IF($Y15="Глянець",$AI15*(Прайс!$D$11-500),IF($Y15="Софт(TS)",$AI15*(Прайс!#REF!-500),0)))),0)+IF($G15="Гладкий",0,IF(AND($Y15="Матове",$H15=1),$AI15*Прайс!$D$73*0.5,IF(AND($Y15="Глянець",$H15=1),$AI15*Прайс!$D$75*0.5,IF(AND($Y15="Софт(TS)",$H15=1),$AI15*Прайс!$D$74*0.5,IF(AND($Y15="Матове покриття з патиною",$H15=1),$AI15*Прайс!$D$77*0.5,IF(AND($Y15="Глянцеве покриття з патиною",$H15=1),$AI15*Прайс!$D$78*0.5,IF(AND($Y15="Матовий DECAPE",$H15=1),$AI15*Прайс!$D$79*0.5,IF(AND($Y15="Глянцевий DECAPE",$H15=1),$AI15*Прайс!$D$80*0.5,0))))))))+IF($G15="Гладкий",0,IF(AND($Y15="Матове",$H15=2),$AI15*Прайс!$E$73*0.5,IF(AND($Y15="Глянець",$H15=2),$AI15*Прайс!$E$75*0.5,IF(AND($Y15="Софт(TS)",$H15=2),$AI15*Прайс!$E$74*0.5,IF(AND($Y15="Матове покриття з патиною",$H15=2),$AI15*Прайс!$E$77*0.5,IF(AND($Y15="Глянцеве покриття з патиною",$H15=2),$AI15*Прайс!$E$78*0.5,IF(AND($Y15="Матовий DECAPE",$H15=2),$AI15*Прайс!$E$79*0.5,IF(AND($Y15="Глянцевий DECAPE",$H15=2),$AI15*Прайс!$E$80*0.5,0)))))))+IF(AND($S15=1,OR($H15=1,$H15=0),$Y15=Прайс!$C$89),$AI15*[1]Прайс!$D$74*0.5,IF(AND($S15=1,OR($H15=1,$H15=0),$Y15=Прайс!$C$90),$AI15*Прайс!$D$90*0.5,IF(AND($S15=1,OR($H15=1,$H15=0),$Y15=Прайс!$C$91),$AI15*Прайс!$D$91*0.5,IF(AND($S15=1,OR($H15=1,$H15=0),$Y15=Прайс!$C$92),$AI15*Прайс!$D$92*0.5,0))))+IF(AND($S15=1,$H15=2,$Y15=Прайс!$C$89),$AI15*Прайс!$E$89*0.5,IF(AND($S15=1,$H15=2,$Y15=Прайс!$C$90),$AI15*Прайс!$E$90*0.5,IF(AND($S15=1,$H15=2,$Y15=Прайс!$C$91),$AI15*Прайс!$E$91*0.5,IF(AND($S15=1,$H15=2,$Y15=Прайс!$C$92),$AI15*Прайс!$E$92*0.5,0)))))</f>
        <v>0</v>
      </c>
      <c r="AC15" s="197" t="str">
        <f>IF(Бланк!AD32="","",Бланк!AD32*E15)</f>
        <v/>
      </c>
      <c r="AD15" s="195">
        <f>IF(OR($AC15=0,$AC15=""),0,$AC15*Прайс!$D$111)</f>
        <v>0</v>
      </c>
      <c r="AE15" s="197" t="str">
        <f>IF(Бланк!AE32="","",Бланк!AE32)</f>
        <v/>
      </c>
      <c r="AF15" s="197" t="str">
        <f>IF(Бланк!AF32="","",Бланк!AF32)</f>
        <v/>
      </c>
      <c r="AG15" s="197" t="str">
        <f>IF(Бланк!AG32="","",Бланк!AG32)</f>
        <v/>
      </c>
      <c r="AH15" s="197" t="str">
        <f>IF(Бланк!AH32="","",Бланк!AH32)</f>
        <v/>
      </c>
      <c r="AI15" s="139">
        <f>IF(Бланк!$AI32="","",Бланк!$AI32)</f>
        <v>0</v>
      </c>
      <c r="AJ15" s="198"/>
      <c r="AK15" s="198"/>
      <c r="AL15" s="198"/>
      <c r="AM15" s="199"/>
      <c r="AN15" s="199"/>
      <c r="AO15" s="199"/>
      <c r="AP15" s="199"/>
      <c r="AQ15" s="200"/>
      <c r="AR15" s="190"/>
    </row>
    <row r="16" spans="1:45" s="202" customFormat="1" ht="21" customHeight="1" x14ac:dyDescent="0.3">
      <c r="B16" s="201">
        <v>13</v>
      </c>
      <c r="C16" s="192" t="str">
        <f>IF(Бланк!$C33="","",Бланк!$C33/1000)</f>
        <v/>
      </c>
      <c r="D16" s="192" t="str">
        <f>IF(Бланк!$D33="","",Бланк!$D33/1000)</f>
        <v/>
      </c>
      <c r="E16" s="192" t="str">
        <f>IF(Бланк!$E33="","",Бланк!$E33)</f>
        <v/>
      </c>
      <c r="F16" s="192" t="str">
        <f>IF(Бланк!$F33="","",Бланк!$F33)</f>
        <v/>
      </c>
      <c r="G16" s="192" t="str">
        <f>IF(Бланк!$G33="","",Бланк!$G33)</f>
        <v/>
      </c>
      <c r="H16" s="193" t="str">
        <f>IF($G16="","",VLOOKUP($G16,Наименование!$M$42:$N$95,2,FALSE))</f>
        <v/>
      </c>
      <c r="I16" s="192" t="str">
        <f>IF(Бланк!$H33="","",Бланк!$H33)</f>
        <v/>
      </c>
      <c r="J16" s="192" t="str">
        <f>IF(Бланк!$I33="","",Бланк!$I33)</f>
        <v/>
      </c>
      <c r="K16" s="194" t="str">
        <f>IF(OR($J16="",$J16=0),"",IF($J16="Пряма з чвертю",(Прайс!$D$106+Прайс!$D$109)*Просчет!$E16,IF($J16="Пряма без чверті",Прайс!$D$106*Просчет!$E16,IF(AND($J16="Шпрос з чвертю",OR($C16&lt;1,$C16=1)),(Прайс!$D$37+Прайс!$D$40)*Просчет!$E16,IF(AND($J16="Шпрос з чвертю",$C16&gt;1),(Прайс!$F$37+Прайс!$D$40)*Просчет!$E16,IF(AND($J16="Шпрос без чверті",OR($C16&lt;1,$C16=1)),Прайс!$D$37*Просчет!$E16,IF(AND($J16="Шпрос без чверті",$C16&gt;1),Прайс!$F$37*Просчет!$E16,"")))))))</f>
        <v/>
      </c>
      <c r="L16" s="192" t="str">
        <f>IF(Бланк!$J33="","",Бланк!$J33/1000)</f>
        <v/>
      </c>
      <c r="M16" s="192" t="str">
        <f>IF(Бланк!$K33="","",Бланк!$K33)</f>
        <v/>
      </c>
      <c r="N16" s="195">
        <f t="shared" si="0"/>
        <v>0</v>
      </c>
      <c r="O16" s="194">
        <f>IF($G16="гладкий",IF($M16="","",IF(OR($M16="J № 1",$M16="J № 2",$M16="J № 2L",$M16="J № 2R",$M16="AJ № 2",$M16="AJ № 2L",$M16="AJ № 2R",$M16="U",$M16="V"),$N16*Прайс!$D$43,IF(OR($M16="AJ № 3R",$M16="AJ № 4R",$M16="AJ № 5R",$M16="AJ № 3L",$M16="AJ № 4L",$M16="AJ № 5L",$M16="AJ № 3",$M16="AJ № 4",$M16="AJ № 5",$M16="J № 3",$M16="J № 4",$M16="J № 5",$M16="J № 6",$M16="J № 7",$M16="L",$M16="AL"),Прайс!$D$43*$E16,IF(OR($M16="J № 3L",$M16="J № 3R",$M16="J № 4L",$M16="J № 4R",$M16="J № 5L",$M16="J № 5R"),$N16/2*Прайс!$D$47*$E16,IF($M16="45 град.",$N16*Прайс!$D$42,0))))),0)</f>
        <v>0</v>
      </c>
      <c r="P16" s="192" t="str">
        <f>IF(Бланк!$L33="","",Бланк!$L33)</f>
        <v/>
      </c>
      <c r="Q16" s="192" t="str">
        <f>IF(Бланк!$M33="","",Бланк!$M33)</f>
        <v/>
      </c>
      <c r="R16" s="194">
        <f>IF($P16="",0,IF($Q16=$U16,0,IF($Q16="",0,IF(OR($G16=35,$G16=36,$G16=37,$G16=38),Прайс!$D$118*Бланк!E33,IF(AND($G16="гладкий",OR($M16="J № 1",$M16="J № 2",$M16="J № 2L",$M16="J № 2R")),$N16*Прайс!$D$59,0)))))</f>
        <v>0</v>
      </c>
      <c r="S16" s="192" t="str">
        <f>IF(OR(Бланк!$O33=0,Бланк!$O33=""),"",1)</f>
        <v/>
      </c>
      <c r="T16" s="192" t="str">
        <f>IF(Бланк!$R33="","",Бланк!$R33)</f>
        <v/>
      </c>
      <c r="U16" s="192" t="str">
        <f>IF(Бланк!$S33="","",Бланк!$S33)</f>
        <v/>
      </c>
      <c r="V16" s="192" t="str">
        <f>IF(Бланк!$T33="","",Бланк!$T33)</f>
        <v/>
      </c>
      <c r="W16" s="196" t="str">
        <f>IF(Бланк!$W33="","",Бланк!$W33)</f>
        <v/>
      </c>
      <c r="X16" s="197" t="str">
        <f>IF(Бланк!AB33="","",Бланк!AB33)</f>
        <v/>
      </c>
      <c r="Y16" s="197" t="str">
        <f>IF(Бланк!AC33="","",Бланк!AC33)</f>
        <v/>
      </c>
      <c r="Z16" s="195">
        <f>IF($G16="Гладкий",IF(OR($C16=0,$C16=""),0,IF(AND(OR($V16="Перли",$V16="Металік",$V16="Перл.зол.",$V16="Перл.ср.",$V16="Перл.зол.",$V16="Зор.н.ср.",$V16="Зор.н.зол.",$V16="Зор.н.різн.",$V16="Гума"),OR($F16=4,$F16=6,$F16=8,$F16=10,$F16=16)),$AI16*Прайс!$D$12,IF(AND(OR($V16="",$V16=0),$X16="Матове",OR($F16=4,$F16=6,$F16=8,$F16=10,$F16=16)),$AI16*Прайс!$D$10,IF(AND(OR($V16="",$V16=0),$X16="Глянець",OR($F16=4,$F16=6,$F16=8,$F16=10,$F16=16)),$AI16*Прайс!$D$11,IF(AND(OR($V16="",$V16=0),$X16="Софт(TS)",OR($F16=4,$F16=6,$F16=8,$F16=10,$F16=16)),$AI16*Прайс!#REF!,0))))),0)+IF($G16="Гладкий",0,IF(AND(OR($V16="Перли",$V16="Металік",$V16="Перл.зол.",$V16="Перл.ср.",$V16="Перл.зол.",$V16="Зор.н.ср.",$V16="Зор.н.зол.",$V16="Зор.н.різн.",$V16="Гума"),OR($F16=4,$F16=6,$F16=8,$F16=10,$F16=16),$H16=1),Просчет!$AI16*Прайс!$D$76,IF(AND(OR($V16="",$V16=0),$X16="Матове",OR($F16=4,$F16=6,$F16=8,$F16=10,$F16=16),$H16=1),Просчет!$AI16*Прайс!$D$73,IF(AND(OR($V16="",$V16=0),$X16="Глянець",OR($F16=4,$F16=6,$F16=8,$F16=10,$F16=16),$H16=1),Просчет!$AI16*Прайс!$D$75,IF(AND(OR($V16="",$V16=0),$G16="Софт(TS)",OR($F16=4,$F16=6,$F16=8,$F16=10,$F16=16),$H16=1),$AI16*Прайс!$D$74,IF(AND(OR($V16="",$V16=0),$X16="Матове покриття з патиною",OR($F16=4,$F16=6,$F16=8,$F16=10,$F16=16),$H16=1),$AI16*Прайс!$D$77,IF(AND(OR($V16="",$V16=0),$X16="Глянцеве покриття з патиною",OR($F16=4,$F16=6,$F16=8,$F16=10,$F16=16),$H16=1),$AI16*Прайс!$D$78,IF(AND(OR($V16="",$V16=0),$X16="Матовий DECAPE",OR($F16=4,$F16=6,$F16=8,$F16=10,$F16=16),$H16=1),$AI16*Прайс!$D$79,IF(AND(OR($V16="",$V16=0),$X16="Глянцевий DECAPE",OR($F16=4,$F16=6,$F16=8,$F16=10,$F16=16),$H16=1),$AI16*Прайс!$D$80,0)))))))))+IF($G16="Гладкий",0,IF(AND(OR($V16="Перли",$V16="Металік",$V16="Перл.зол.",$V16="Перл.ср.",$V16="Перл.зол.",$V16="Зор.н.ср.",$V16="Зор.н.зол.",$V16="Зор.н.різн.",$V16="Гума"),OR($F16=4,$F16=6,$F16=8,$F16=10,$F16=16),$H16=2),$AI16*Прайс!$E$76,IF(AND(OR($V16="",$V16=0),$X16="Матове",OR($F16=4,$F16=6,$F16=8,$F16=10,$F16=16),$H16=2),Просчет!$AI16*Прайс!$E$73,IF(AND(OR($V16="",$V16=0),$X16="Глянець",OR($F16=4,$F16=6,$F16=8,$F16=10,$F16=16),$H16=2),$AI16*Прайс!$E$75,IF(AND(OR($V16="",$V16=0),$X16="Софт(TS)",OR($F16=4,$F16=6,$F16=8,$F16=10,$F16=16),$H16=2),$AI16*Прайс!$E$74,IF(AND(OR($V16="",$V16=0),$X16="Матове покриття з патиною",OR($F16=4,$F16=6,$F16=8,$F16=10,$F16=16),$H16=2),$AI16*Прайс!$E$77,IF(AND(OR($V16="",$V16=0),$X16="Глянцеве покриття з патиною",OR($F16=4,$F16=6,$F16=8,$F16=10,$F16=16),$H16=2),$AI16*Прайс!$E$78,IF(AND(OR($V16="",$V16=0),$X16="Матовий DECAPE",OR($F16=4,$F16=6,$F16=8,$F16=10,$F16=16),$H16=2),$AI16*Прайс!$E$79,IF(AND(OR($V16="",$V16=0),$X16="Глянцевий DECAPE",OR($F16=4,$F16=6,$F16=8,$F16=10,$F16=16),$H16=2),$AI16*Прайс!$E$80,0)))))))))+IF(AND($S16=1,OR($H16=1,$H16=0),$X16=Наименование!$L$12,OR($F16=4,$F16=6,$F16=8,$F16=10,$F16=16)),$AI16*Прайс!$D$89,IF(AND($S16=1,OR($H16=1,$H16=0),$X16=Наименование!$L$13,OR($F16=4,$F16=6,$F16=8,$F16=10,$F16=16)),$AI16*Прайс!$D$90,IF(AND($S16=1,OR($H16=1,$H16=0),$X16=Наименование!$L26,OR($F16=4,$F16=6,$F16=8,$F16=10,$F16=16)),$AI16*Прайс!$D$91,IF(AND($S16=1,OR($H16=1,$H16=0),$X16=Наименование!$L$15,OR($F16=4,$F16=6,$F16=8,$F16=10,$F16=16)),$AI16*Прайс!$D$92,0))))+IF(AND($S16=1,$H16=2,$X16=Наименование!$L$12,OR($F16=4,$F16=6,$F16=8,$F16=10,$F16=16)),$AI16*Прайс!$E$89,IF(AND($S16=1,$H16=2,$X16=Наименование!$L$13,OR($F16=4,$F16=6,$F16=8,$F16=10,$F16=16)),$AI16*Прайс!$E$90,IF(AND($S16=1,$H16=2,$X16=Наименование!$L$14,OR($F16=4,$F16=6,$F16=8,$F16=10,$F16=16)),$AI16*Прайс!$E$91,IF(AND($S16=1,$H16=2,$X16=Наименование!$L$15,OR($F16=4,$F16=6,$F16=8,$F16=10,$F16=16)),$AI16*Прайс!$E$92))))</f>
        <v>0</v>
      </c>
      <c r="AA16" s="195">
        <f>IF($G16="Гладкий",IF(OR($C16=0,$C16=""),0,IF(AND(OR($V16="Перли",$V16="Металік",$V16="Перл.зол.",$V16="Перл.ср.",$V16="Перл.зол.",$V16="Зор.н.ср.",$V16="Зор.н.зол.",$V16="Зор.н.різн.",$V16="Гума"),$F16=19),$AI16*Прайс!$E$12,IF(AND(OR($V16="",$V16=0),$X16="Матове",$F16=19),$AI16*Прайс!$E$10,IF(AND(OR($V16="",$V16=0),$X16="Глянець",$F16=19),$AI16*Прайс!$E$11,IF(AND(OR($V16="",$V16=0),$X16="Софт(TS)",$F16=19),$AI16*Прайс!#REF!,0))))),0)+IF($G16="Гладкий",0,IF(AND(OR($V16="Перли",$V16="Металік",$V16="Перл.зол.",$V16="Перл.ср.",$V16="Перл.зол.",$V16="Зор.н.ср.",$V16="Зор.н.зол.",$V16="Зор.н.різн.",$V16="Гума"),$F16=19,$H16=1),Просчет!$AI16*Прайс!$F$76,IF(AND(OR($V16="",$V16=0),$X16="Матове",$F16=19,$H16=1),Просчет!$AI16*Прайс!$F$73,IF(AND(OR($V16="",$V16=0),$X16="Глянець",$F16=19,$H16=1),Просчет!$AI16*Прайс!$F$75,IF(AND(OR($V16="",$V16=0),$G16="Софт(TS)",$F16=19,$H16=1),$AI16*Прайс!$F$74,IF(AND(OR($V16="",$V16=0),$X16="Матове покриття з патиною",$F16=19,$H16=1),$AI16*Прайс!$F$77,IF(AND(OR($V16="",$V16=0),$X16="Глянцеве покриття з патиною",$F16=19,$H16=1),$AI16*Прайс!$F$78,IF(AND(OR($V16="",$V16=0),$X16="Матовий DECAPE",$F16=19,$H16=1),$AI16*Прайс!$F$79,IF(AND(OR($V16="",$V16=0),$X16="Глянцевий DECAPE",$F16=19,$H16=1),$AI16*Прайс!$F$80,0)))))))))+IF($G16="Гладкий",0,IF(AND(OR($V16="Перли",$V16="Металік",$V16="Перл.зол.",$V16="Перл.ср.",$V16="Перл.зол.",$V16="Зор.н.ср.",$V16="Зор.н.зол.",$V16="Зор.н.різн.",$V16="Гума"),$F16=19,$H16=2),$AI16*Прайс!$G$76,IF(AND(OR($V16="",$V16=0),$X16="Матове",$F16=19,$H16=2),Просчет!$AI16*Прайс!$G$73,IF(AND(OR($V16="",$V16=0),$X16="Глянець",$F16=19,$H16=2),$AI16*Прайс!$G$75,IF(AND(OR($V16="",$V16=0),$X16="Софт(TS)",$F16=19,$H16=2),$AI16*Прайс!$G$74,IF(AND(OR($V16="",$V16=0),$X16="Матове покриття з патиною",$F16=19,$H16=2),$AI16*Прайс!$G$77,IF(AND(OR($V16="",$V16=0),$X16="Глянцеве покриття з патиною",$F16=19,$H16=2),$AI16*Прайс!$G$78,IF(AND(OR($V16="",$V16=0),$X16="Матовий DECAPE",$F16=19,$H16=2),$AI16*Прайс!$G$79,IF(AND(OR($V16="",$V16=0),$X16="Глянцевий DECAPE",$F16=19,$H16=2),$AI16*Прайс!$G$78,0)))))))))+IF(AND($S16=1,OR($H16=1,$H16=0),$X16=Наименование!$L$12,$F16=19),$AI16*Прайс!$F$89,IF(AND($S16=1,OR($H16=1,$H16=0),$X16=Наименование!$L$13,$F16=19),$AI16*Прайс!$F$90,IF(AND($S16=1,OR($H16=1,$H16=0),$X16=Наименование!$L26,$F16=19),$AI16*Прайс!$F$91,IF(AND($S16=1,OR($H16=1,$H16=0),$X16=Наименование!$L$15,$F16=19),$AI16*Прайс!$F$92,0))))+IF(AND($S16=1,$H16=2,$X16=Наименование!$L$12,$F16=19),$AI16*Прайс!$G$89,IF(AND($S16=1,$H16=2,$X16=Наименование!$L$13,$F16=19),$AI16*Прайс!$G$90,IF(AND($S16=1,$H16=2,$X16=Наименование!$L$14,$F16=19),$AI16*Прайс!$G$91,IF(AND($S16=1,$H16=2,$X16=Наименование!$L$15,$F16=19),$AI16*Прайс!$G$92))))</f>
        <v>0</v>
      </c>
      <c r="AB16" s="195">
        <f>IF($G16="Гладкий",IF(OR($C16=0,$C16=""),0,IF($Y16="Матове",$AI16*(Прайс!$D$10-500),IF($Y16="Глянець",$AI16*(Прайс!$D$11-500),IF($Y16="Софт(TS)",$AI16*(Прайс!#REF!-500),0)))),0)+IF($G16="Гладкий",0,IF(AND($Y16="Матове",$H16=1),$AI16*Прайс!$D$73*0.5,IF(AND($Y16="Глянець",$H16=1),$AI16*Прайс!$D$75*0.5,IF(AND($Y16="Софт(TS)",$H16=1),$AI16*Прайс!$D$74*0.5,IF(AND($Y16="Матове покриття з патиною",$H16=1),$AI16*Прайс!$D$77*0.5,IF(AND($Y16="Глянцеве покриття з патиною",$H16=1),$AI16*Прайс!$D$78*0.5,IF(AND($Y16="Матовий DECAPE",$H16=1),$AI16*Прайс!$D$79*0.5,IF(AND($Y16="Глянцевий DECAPE",$H16=1),$AI16*Прайс!$D$80*0.5,0))))))))+IF($G16="Гладкий",0,IF(AND($Y16="Матове",$H16=2),$AI16*Прайс!$E$73*0.5,IF(AND($Y16="Глянець",$H16=2),$AI16*Прайс!$E$75*0.5,IF(AND($Y16="Софт(TS)",$H16=2),$AI16*Прайс!$E$74*0.5,IF(AND($Y16="Матове покриття з патиною",$H16=2),$AI16*Прайс!$E$77*0.5,IF(AND($Y16="Глянцеве покриття з патиною",$H16=2),$AI16*Прайс!$E$78*0.5,IF(AND($Y16="Матовий DECAPE",$H16=2),$AI16*Прайс!$E$79*0.5,IF(AND($Y16="Глянцевий DECAPE",$H16=2),$AI16*Прайс!$E$80*0.5,0)))))))+IF(AND($S16=1,OR($H16=1,$H16=0),$Y16=Прайс!$C$89),$AI16*[1]Прайс!$D$74*0.5,IF(AND($S16=1,OR($H16=1,$H16=0),$Y16=Прайс!$C$90),$AI16*Прайс!$D$90*0.5,IF(AND($S16=1,OR($H16=1,$H16=0),$Y16=Прайс!$C$91),$AI16*Прайс!$D$91*0.5,IF(AND($S16=1,OR($H16=1,$H16=0),$Y16=Прайс!$C$92),$AI16*Прайс!$D$92*0.5,0))))+IF(AND($S16=1,$H16=2,$Y16=Прайс!$C$89),$AI16*Прайс!$E$89*0.5,IF(AND($S16=1,$H16=2,$Y16=Прайс!$C$90),$AI16*Прайс!$E$90*0.5,IF(AND($S16=1,$H16=2,$Y16=Прайс!$C$91),$AI16*Прайс!$E$91*0.5,IF(AND($S16=1,$H16=2,$Y16=Прайс!$C$92),$AI16*Прайс!$E$92*0.5,0)))))</f>
        <v>0</v>
      </c>
      <c r="AC16" s="197" t="str">
        <f>IF(Бланк!AD33="","",Бланк!AD33*E16)</f>
        <v/>
      </c>
      <c r="AD16" s="195">
        <f>IF(OR($AC16=0,$AC16=""),0,$AC16*Прайс!$D$111)</f>
        <v>0</v>
      </c>
      <c r="AE16" s="197" t="str">
        <f>IF(Бланк!AE33="","",Бланк!AE33)</f>
        <v/>
      </c>
      <c r="AF16" s="197" t="str">
        <f>IF(Бланк!AF33="","",Бланк!AF33)</f>
        <v/>
      </c>
      <c r="AG16" s="197" t="str">
        <f>IF(Бланк!AG33="","",Бланк!AG33)</f>
        <v/>
      </c>
      <c r="AH16" s="197" t="str">
        <f>IF(Бланк!AH33="","",Бланк!AH33)</f>
        <v/>
      </c>
      <c r="AI16" s="139">
        <f>IF(Бланк!$AI33="","",Бланк!$AI33)</f>
        <v>0</v>
      </c>
      <c r="AJ16" s="198"/>
      <c r="AK16" s="198"/>
      <c r="AL16" s="198"/>
      <c r="AM16" s="199"/>
      <c r="AN16" s="199"/>
      <c r="AO16" s="199"/>
      <c r="AP16" s="199"/>
      <c r="AQ16" s="200"/>
      <c r="AR16" s="190"/>
    </row>
    <row r="17" spans="2:44" s="202" customFormat="1" ht="21" customHeight="1" x14ac:dyDescent="0.3">
      <c r="B17" s="201">
        <v>14</v>
      </c>
      <c r="C17" s="192" t="str">
        <f>IF(Бланк!$C34="","",Бланк!$C34/1000)</f>
        <v/>
      </c>
      <c r="D17" s="192" t="str">
        <f>IF(Бланк!$D34="","",Бланк!$D34/1000)</f>
        <v/>
      </c>
      <c r="E17" s="192" t="str">
        <f>IF(Бланк!$E34="","",Бланк!$E34)</f>
        <v/>
      </c>
      <c r="F17" s="192" t="str">
        <f>IF(Бланк!$F34="","",Бланк!$F34)</f>
        <v/>
      </c>
      <c r="G17" s="192" t="str">
        <f>IF(Бланк!$G34="","",Бланк!$G34)</f>
        <v/>
      </c>
      <c r="H17" s="193" t="str">
        <f>IF($G17="","",VLOOKUP($G17,Наименование!$M$42:$N$95,2,FALSE))</f>
        <v/>
      </c>
      <c r="I17" s="192" t="str">
        <f>IF(Бланк!$H34="","",Бланк!$H34)</f>
        <v/>
      </c>
      <c r="J17" s="192" t="str">
        <f>IF(Бланк!$I34="","",Бланк!$I34)</f>
        <v/>
      </c>
      <c r="K17" s="194" t="str">
        <f>IF(OR($J17="",$J17=0),"",IF($J17="Пряма з чвертю",(Прайс!$D$106+Прайс!$D$109)*Просчет!$E17,IF($J17="Пряма без чверті",Прайс!$D$106*Просчет!$E17,IF(AND($J17="Шпрос з чвертю",OR($C17&lt;1,$C17=1)),(Прайс!$D$37+Прайс!$D$40)*Просчет!$E17,IF(AND($J17="Шпрос з чвертю",$C17&gt;1),(Прайс!$F$37+Прайс!$D$40)*Просчет!$E17,IF(AND($J17="Шпрос без чверті",OR($C17&lt;1,$C17=1)),Прайс!$D$37*Просчет!$E17,IF(AND($J17="Шпрос без чверті",$C17&gt;1),Прайс!$F$37*Просчет!$E17,"")))))))</f>
        <v/>
      </c>
      <c r="L17" s="192" t="str">
        <f>IF(Бланк!$J34="","",Бланк!$J34/1000)</f>
        <v/>
      </c>
      <c r="M17" s="192" t="str">
        <f>IF(Бланк!$K34="","",Бланк!$K34)</f>
        <v/>
      </c>
      <c r="N17" s="195">
        <f t="shared" si="0"/>
        <v>0</v>
      </c>
      <c r="O17" s="194">
        <f>IF($G17="гладкий",IF($M17="","",IF(OR($M17="J № 1",$M17="J № 2",$M17="J № 2L",$M17="J № 2R",$M17="AJ № 2",$M17="AJ № 2L",$M17="AJ № 2R",$M17="U",$M17="V"),$N17*Прайс!$D$43,IF(OR($M17="AJ № 3R",$M17="AJ № 4R",$M17="AJ № 5R",$M17="AJ № 3L",$M17="AJ № 4L",$M17="AJ № 5L",$M17="AJ № 3",$M17="AJ № 4",$M17="AJ № 5",$M17="J № 3",$M17="J № 4",$M17="J № 5",$M17="J № 6",$M17="J № 7",$M17="L",$M17="AL"),Прайс!$D$43*$E17,IF(OR($M17="J № 3L",$M17="J № 3R",$M17="J № 4L",$M17="J № 4R",$M17="J № 5L",$M17="J № 5R"),$N17/2*Прайс!$D$47*$E17,IF($M17="45 град.",$N17*Прайс!$D$42,0))))),0)</f>
        <v>0</v>
      </c>
      <c r="P17" s="192" t="str">
        <f>IF(Бланк!$L34="","",Бланк!$L34)</f>
        <v/>
      </c>
      <c r="Q17" s="192" t="str">
        <f>IF(Бланк!$M34="","",Бланк!$M34)</f>
        <v/>
      </c>
      <c r="R17" s="194">
        <f>IF($P17="",0,IF($Q17=$U17,0,IF($Q17="",0,IF(OR($G17=35,$G17=36,$G17=37,$G17=38),Прайс!$D$118*Бланк!E34,IF(AND($G17="гладкий",OR($M17="J № 1",$M17="J № 2",$M17="J № 2L",$M17="J № 2R")),$N17*Прайс!$D$59,0)))))</f>
        <v>0</v>
      </c>
      <c r="S17" s="192" t="str">
        <f>IF(OR(Бланк!$O34=0,Бланк!$O34=""),"",1)</f>
        <v/>
      </c>
      <c r="T17" s="192" t="str">
        <f>IF(Бланк!$R34="","",Бланк!$R34)</f>
        <v/>
      </c>
      <c r="U17" s="192" t="str">
        <f>IF(Бланк!$S34="","",Бланк!$S34)</f>
        <v/>
      </c>
      <c r="V17" s="192" t="str">
        <f>IF(Бланк!$T34="","",Бланк!$T34)</f>
        <v/>
      </c>
      <c r="W17" s="196" t="str">
        <f>IF(Бланк!$W34="","",Бланк!$W34)</f>
        <v/>
      </c>
      <c r="X17" s="197" t="str">
        <f>IF(Бланк!AB34="","",Бланк!AB34)</f>
        <v/>
      </c>
      <c r="Y17" s="197" t="str">
        <f>IF(Бланк!AC34="","",Бланк!AC34)</f>
        <v/>
      </c>
      <c r="Z17" s="195">
        <f>IF($G17="Гладкий",IF(OR($C17=0,$C17=""),0,IF(AND(OR($V17="Перли",$V17="Металік",$V17="Перл.зол.",$V17="Перл.ср.",$V17="Перл.зол.",$V17="Зор.н.ср.",$V17="Зор.н.зол.",$V17="Зор.н.різн.",$V17="Гума"),OR($F17=4,$F17=6,$F17=8,$F17=10,$F17=16)),$AI17*Прайс!$D$12,IF(AND(OR($V17="",$V17=0),$X17="Матове",OR($F17=4,$F17=6,$F17=8,$F17=10,$F17=16)),$AI17*Прайс!$D$10,IF(AND(OR($V17="",$V17=0),$X17="Глянець",OR($F17=4,$F17=6,$F17=8,$F17=10,$F17=16)),$AI17*Прайс!$D$11,IF(AND(OR($V17="",$V17=0),$X17="Софт(TS)",OR($F17=4,$F17=6,$F17=8,$F17=10,$F17=16)),$AI17*Прайс!#REF!,0))))),0)+IF($G17="Гладкий",0,IF(AND(OR($V17="Перли",$V17="Металік",$V17="Перл.зол.",$V17="Перл.ср.",$V17="Перл.зол.",$V17="Зор.н.ср.",$V17="Зор.н.зол.",$V17="Зор.н.різн.",$V17="Гума"),OR($F17=4,$F17=6,$F17=8,$F17=10,$F17=16),$H17=1),Просчет!$AI17*Прайс!$D$76,IF(AND(OR($V17="",$V17=0),$X17="Матове",OR($F17=4,$F17=6,$F17=8,$F17=10,$F17=16),$H17=1),Просчет!$AI17*Прайс!$D$73,IF(AND(OR($V17="",$V17=0),$X17="Глянець",OR($F17=4,$F17=6,$F17=8,$F17=10,$F17=16),$H17=1),Просчет!$AI17*Прайс!$D$75,IF(AND(OR($V17="",$V17=0),$G17="Софт(TS)",OR($F17=4,$F17=6,$F17=8,$F17=10,$F17=16),$H17=1),$AI17*Прайс!$D$74,IF(AND(OR($V17="",$V17=0),$X17="Матове покриття з патиною",OR($F17=4,$F17=6,$F17=8,$F17=10,$F17=16),$H17=1),$AI17*Прайс!$D$77,IF(AND(OR($V17="",$V17=0),$X17="Глянцеве покриття з патиною",OR($F17=4,$F17=6,$F17=8,$F17=10,$F17=16),$H17=1),$AI17*Прайс!$D$78,IF(AND(OR($V17="",$V17=0),$X17="Матовий DECAPE",OR($F17=4,$F17=6,$F17=8,$F17=10,$F17=16),$H17=1),$AI17*Прайс!$D$79,IF(AND(OR($V17="",$V17=0),$X17="Глянцевий DECAPE",OR($F17=4,$F17=6,$F17=8,$F17=10,$F17=16),$H17=1),$AI17*Прайс!$D$80,0)))))))))+IF($G17="Гладкий",0,IF(AND(OR($V17="Перли",$V17="Металік",$V17="Перл.зол.",$V17="Перл.ср.",$V17="Перл.зол.",$V17="Зор.н.ср.",$V17="Зор.н.зол.",$V17="Зор.н.різн.",$V17="Гума"),OR($F17=4,$F17=6,$F17=8,$F17=10,$F17=16),$H17=2),$AI17*Прайс!$E$76,IF(AND(OR($V17="",$V17=0),$X17="Матове",OR($F17=4,$F17=6,$F17=8,$F17=10,$F17=16),$H17=2),Просчет!$AI17*Прайс!$E$73,IF(AND(OR($V17="",$V17=0),$X17="Глянець",OR($F17=4,$F17=6,$F17=8,$F17=10,$F17=16),$H17=2),$AI17*Прайс!$E$75,IF(AND(OR($V17="",$V17=0),$X17="Софт(TS)",OR($F17=4,$F17=6,$F17=8,$F17=10,$F17=16),$H17=2),$AI17*Прайс!$E$74,IF(AND(OR($V17="",$V17=0),$X17="Матове покриття з патиною",OR($F17=4,$F17=6,$F17=8,$F17=10,$F17=16),$H17=2),$AI17*Прайс!$E$77,IF(AND(OR($V17="",$V17=0),$X17="Глянцеве покриття з патиною",OR($F17=4,$F17=6,$F17=8,$F17=10,$F17=16),$H17=2),$AI17*Прайс!$E$78,IF(AND(OR($V17="",$V17=0),$X17="Матовий DECAPE",OR($F17=4,$F17=6,$F17=8,$F17=10,$F17=16),$H17=2),$AI17*Прайс!$E$79,IF(AND(OR($V17="",$V17=0),$X17="Глянцевий DECAPE",OR($F17=4,$F17=6,$F17=8,$F17=10,$F17=16),$H17=2),$AI17*Прайс!$E$80,0)))))))))+IF(AND($S17=1,OR($H17=1,$H17=0),$X17=Наименование!$L$12,OR($F17=4,$F17=6,$F17=8,$F17=10,$F17=16)),$AI17*Прайс!$D$89,IF(AND($S17=1,OR($H17=1,$H17=0),$X17=Наименование!$L$13,OR($F17=4,$F17=6,$F17=8,$F17=10,$F17=16)),$AI17*Прайс!$D$90,IF(AND($S17=1,OR($H17=1,$H17=0),$X17=Наименование!$L37,OR($F17=4,$F17=6,$F17=8,$F17=10,$F17=16)),$AI17*Прайс!$D$91,IF(AND($S17=1,OR($H17=1,$H17=0),$X17=Наименование!$L$15,OR($F17=4,$F17=6,$F17=8,$F17=10,$F17=16)),$AI17*Прайс!$D$92,0))))+IF(AND($S17=1,$H17=2,$X17=Наименование!$L$12,OR($F17=4,$F17=6,$F17=8,$F17=10,$F17=16)),$AI17*Прайс!$E$89,IF(AND($S17=1,$H17=2,$X17=Наименование!$L$13,OR($F17=4,$F17=6,$F17=8,$F17=10,$F17=16)),$AI17*Прайс!$E$90,IF(AND($S17=1,$H17=2,$X17=Наименование!$L$14,OR($F17=4,$F17=6,$F17=8,$F17=10,$F17=16)),$AI17*Прайс!$E$91,IF(AND($S17=1,$H17=2,$X17=Наименование!$L$15,OR($F17=4,$F17=6,$F17=8,$F17=10,$F17=16)),$AI17*Прайс!$E$92))))</f>
        <v>0</v>
      </c>
      <c r="AA17" s="195">
        <f>IF($G17="Гладкий",IF(OR($C17=0,$C17=""),0,IF(AND(OR($V17="Перли",$V17="Металік",$V17="Перл.зол.",$V17="Перл.ср.",$V17="Перл.зол.",$V17="Зор.н.ср.",$V17="Зор.н.зол.",$V17="Зор.н.різн.",$V17="Гума"),$F17=19),$AI17*Прайс!$E$12,IF(AND(OR($V17="",$V17=0),$X17="Матове",$F17=19),$AI17*Прайс!$E$10,IF(AND(OR($V17="",$V17=0),$X17="Глянець",$F17=19),$AI17*Прайс!$E$11,IF(AND(OR($V17="",$V17=0),$X17="Софт(TS)",$F17=19),$AI17*Прайс!#REF!,0))))),0)+IF($G17="Гладкий",0,IF(AND(OR($V17="Перли",$V17="Металік",$V17="Перл.зол.",$V17="Перл.ср.",$V17="Перл.зол.",$V17="Зор.н.ср.",$V17="Зор.н.зол.",$V17="Зор.н.різн.",$V17="Гума"),$F17=19,$H17=1),Просчет!$AI17*Прайс!$F$76,IF(AND(OR($V17="",$V17=0),$X17="Матове",$F17=19,$H17=1),Просчет!$AI17*Прайс!$F$73,IF(AND(OR($V17="",$V17=0),$X17="Глянець",$F17=19,$H17=1),Просчет!$AI17*Прайс!$F$75,IF(AND(OR($V17="",$V17=0),$G17="Софт(TS)",$F17=19,$H17=1),$AI17*Прайс!$F$74,IF(AND(OR($V17="",$V17=0),$X17="Матове покриття з патиною",$F17=19,$H17=1),$AI17*Прайс!$F$77,IF(AND(OR($V17="",$V17=0),$X17="Глянцеве покриття з патиною",$F17=19,$H17=1),$AI17*Прайс!$F$78,IF(AND(OR($V17="",$V17=0),$X17="Матовий DECAPE",$F17=19,$H17=1),$AI17*Прайс!$F$79,IF(AND(OR($V17="",$V17=0),$X17="Глянцевий DECAPE",$F17=19,$H17=1),$AI17*Прайс!$F$80,0)))))))))+IF($G17="Гладкий",0,IF(AND(OR($V17="Перли",$V17="Металік",$V17="Перл.зол.",$V17="Перл.ср.",$V17="Перл.зол.",$V17="Зор.н.ср.",$V17="Зор.н.зол.",$V17="Зор.н.різн.",$V17="Гума"),$F17=19,$H17=2),$AI17*Прайс!$G$76,IF(AND(OR($V17="",$V17=0),$X17="Матове",$F17=19,$H17=2),Просчет!$AI17*Прайс!$G$73,IF(AND(OR($V17="",$V17=0),$X17="Глянець",$F17=19,$H17=2),$AI17*Прайс!$G$75,IF(AND(OR($V17="",$V17=0),$X17="Софт(TS)",$F17=19,$H17=2),$AI17*Прайс!$G$74,IF(AND(OR($V17="",$V17=0),$X17="Матове покриття з патиною",$F17=19,$H17=2),$AI17*Прайс!$G$77,IF(AND(OR($V17="",$V17=0),$X17="Глянцеве покриття з патиною",$F17=19,$H17=2),$AI17*Прайс!$G$78,IF(AND(OR($V17="",$V17=0),$X17="Матовий DECAPE",$F17=19,$H17=2),$AI17*Прайс!$G$79,IF(AND(OR($V17="",$V17=0),$X17="Глянцевий DECAPE",$F17=19,$H17=2),$AI17*Прайс!$G$78,0)))))))))+IF(AND($S17=1,OR($H17=1,$H17=0),$X17=Наименование!$L$12,$F17=19),$AI17*Прайс!$F$89,IF(AND($S17=1,OR($H17=1,$H17=0),$X17=Наименование!$L$13,$F17=19),$AI17*Прайс!$F$90,IF(AND($S17=1,OR($H17=1,$H17=0),$X17=Наименование!$L37,$F17=19),$AI17*Прайс!$F$91,IF(AND($S17=1,OR($H17=1,$H17=0),$X17=Наименование!$L$15,$F17=19),$AI17*Прайс!$F$92,0))))+IF(AND($S17=1,$H17=2,$X17=Наименование!$L$12,$F17=19),$AI17*Прайс!$G$89,IF(AND($S17=1,$H17=2,$X17=Наименование!$L$13,$F17=19),$AI17*Прайс!$G$90,IF(AND($S17=1,$H17=2,$X17=Наименование!$L$14,$F17=19),$AI17*Прайс!$G$91,IF(AND($S17=1,$H17=2,$X17=Наименование!$L$15,$F17=19),$AI17*Прайс!$G$92))))</f>
        <v>0</v>
      </c>
      <c r="AB17" s="195">
        <f>IF($G17="Гладкий",IF(OR($C17=0,$C17=""),0,IF($Y17="Матове",$AI17*(Прайс!$D$10-500),IF($Y17="Глянець",$AI17*(Прайс!$D$11-500),IF($Y17="Софт(TS)",$AI17*(Прайс!#REF!-500),0)))),0)+IF($G17="Гладкий",0,IF(AND($Y17="Матове",$H17=1),$AI17*Прайс!$D$73*0.5,IF(AND($Y17="Глянець",$H17=1),$AI17*Прайс!$D$75*0.5,IF(AND($Y17="Софт(TS)",$H17=1),$AI17*Прайс!$D$74*0.5,IF(AND($Y17="Матове покриття з патиною",$H17=1),$AI17*Прайс!$D$77*0.5,IF(AND($Y17="Глянцеве покриття з патиною",$H17=1),$AI17*Прайс!$D$78*0.5,IF(AND($Y17="Матовий DECAPE",$H17=1),$AI17*Прайс!$D$79*0.5,IF(AND($Y17="Глянцевий DECAPE",$H17=1),$AI17*Прайс!$D$80*0.5,0))))))))+IF($G17="Гладкий",0,IF(AND($Y17="Матове",$H17=2),$AI17*Прайс!$E$73*0.5,IF(AND($Y17="Глянець",$H17=2),$AI17*Прайс!$E$75*0.5,IF(AND($Y17="Софт(TS)",$H17=2),$AI17*Прайс!$E$74*0.5,IF(AND($Y17="Матове покриття з патиною",$H17=2),$AI17*Прайс!$E$77*0.5,IF(AND($Y17="Глянцеве покриття з патиною",$H17=2),$AI17*Прайс!$E$78*0.5,IF(AND($Y17="Матовий DECAPE",$H17=2),$AI17*Прайс!$E$79*0.5,IF(AND($Y17="Глянцевий DECAPE",$H17=2),$AI17*Прайс!$E$80*0.5,0)))))))+IF(AND($S17=1,OR($H17=1,$H17=0),$Y17=Прайс!$C$89),$AI17*[1]Прайс!$D$74*0.5,IF(AND($S17=1,OR($H17=1,$H17=0),$Y17=Прайс!$C$90),$AI17*Прайс!$D$90*0.5,IF(AND($S17=1,OR($H17=1,$H17=0),$Y17=Прайс!$C$91),$AI17*Прайс!$D$91*0.5,IF(AND($S17=1,OR($H17=1,$H17=0),$Y17=Прайс!$C$92),$AI17*Прайс!$D$92*0.5,0))))+IF(AND($S17=1,$H17=2,$Y17=Прайс!$C$89),$AI17*Прайс!$E$89*0.5,IF(AND($S17=1,$H17=2,$Y17=Прайс!$C$90),$AI17*Прайс!$E$90*0.5,IF(AND($S17=1,$H17=2,$Y17=Прайс!$C$91),$AI17*Прайс!$E$91*0.5,IF(AND($S17=1,$H17=2,$Y17=Прайс!$C$92),$AI17*Прайс!$E$92*0.5,0)))))</f>
        <v>0</v>
      </c>
      <c r="AC17" s="197" t="str">
        <f>IF(Бланк!AD34="","",Бланк!AD34*E17)</f>
        <v/>
      </c>
      <c r="AD17" s="195">
        <f>IF(OR($AC17=0,$AC17=""),0,$AC17*Прайс!$D$111)</f>
        <v>0</v>
      </c>
      <c r="AE17" s="197" t="str">
        <f>IF(Бланк!AE34="","",Бланк!AE34)</f>
        <v/>
      </c>
      <c r="AF17" s="197" t="str">
        <f>IF(Бланк!AF34="","",Бланк!AF34)</f>
        <v/>
      </c>
      <c r="AG17" s="197" t="str">
        <f>IF(Бланк!AG34="","",Бланк!AG34)</f>
        <v/>
      </c>
      <c r="AH17" s="197" t="str">
        <f>IF(Бланк!AH34="","",Бланк!AH34)</f>
        <v/>
      </c>
      <c r="AI17" s="139">
        <f>IF(Бланк!$AI34="","",Бланк!$AI34)</f>
        <v>0</v>
      </c>
      <c r="AJ17" s="198"/>
      <c r="AK17" s="198"/>
      <c r="AL17" s="198"/>
      <c r="AM17" s="199"/>
      <c r="AN17" s="199"/>
      <c r="AO17" s="199"/>
      <c r="AP17" s="199"/>
      <c r="AQ17" s="200"/>
      <c r="AR17" s="190"/>
    </row>
    <row r="18" spans="2:44" s="202" customFormat="1" ht="21" customHeight="1" x14ac:dyDescent="0.3">
      <c r="B18" s="201">
        <v>15</v>
      </c>
      <c r="C18" s="192" t="str">
        <f>IF(Бланк!$C35="","",Бланк!$C35/1000)</f>
        <v/>
      </c>
      <c r="D18" s="192" t="str">
        <f>IF(Бланк!$D35="","",Бланк!$D35/1000)</f>
        <v/>
      </c>
      <c r="E18" s="192" t="str">
        <f>IF(Бланк!$E35="","",Бланк!$E35)</f>
        <v/>
      </c>
      <c r="F18" s="192" t="str">
        <f>IF(Бланк!$F35="","",Бланк!$F35)</f>
        <v/>
      </c>
      <c r="G18" s="192" t="str">
        <f>IF(Бланк!$G35="","",Бланк!$G35)</f>
        <v/>
      </c>
      <c r="H18" s="193" t="str">
        <f>IF($G18="","",VLOOKUP($G18,Наименование!$M$42:$N$95,2,FALSE))</f>
        <v/>
      </c>
      <c r="I18" s="192" t="str">
        <f>IF(Бланк!$H35="","",Бланк!$H35)</f>
        <v/>
      </c>
      <c r="J18" s="192" t="str">
        <f>IF(Бланк!$I35="","",Бланк!$I35)</f>
        <v/>
      </c>
      <c r="K18" s="194" t="str">
        <f>IF(OR($J18="",$J18=0),"",IF($J18="Пряма з чвертю",(Прайс!$D$106+Прайс!$D$109)*Просчет!$E18,IF($J18="Пряма без чверті",Прайс!$D$106*Просчет!$E18,IF(AND($J18="Шпрос з чвертю",OR($C18&lt;1,$C18=1)),(Прайс!$D$37+Прайс!$D$40)*Просчет!$E18,IF(AND($J18="Шпрос з чвертю",$C18&gt;1),(Прайс!$F$37+Прайс!$D$40)*Просчет!$E18,IF(AND($J18="Шпрос без чверті",OR($C18&lt;1,$C18=1)),Прайс!$D$37*Просчет!$E18,IF(AND($J18="Шпрос без чверті",$C18&gt;1),Прайс!$F$37*Просчет!$E18,"")))))))</f>
        <v/>
      </c>
      <c r="L18" s="192" t="str">
        <f>IF(Бланк!$J35="","",Бланк!$J35/1000)</f>
        <v/>
      </c>
      <c r="M18" s="192" t="str">
        <f>IF(Бланк!$K35="","",Бланк!$K35)</f>
        <v/>
      </c>
      <c r="N18" s="195">
        <f t="shared" si="0"/>
        <v>0</v>
      </c>
      <c r="O18" s="194">
        <f>IF($G18="гладкий",IF($M18="","",IF(OR($M18="J № 1",$M18="J № 2",$M18="J № 2L",$M18="J № 2R",$M18="AJ № 2",$M18="AJ № 2L",$M18="AJ № 2R",$M18="U",$M18="V"),$N18*Прайс!$D$43,IF(OR($M18="AJ № 3R",$M18="AJ № 4R",$M18="AJ № 5R",$M18="AJ № 3L",$M18="AJ № 4L",$M18="AJ № 5L",$M18="AJ № 3",$M18="AJ № 4",$M18="AJ № 5",$M18="J № 3",$M18="J № 4",$M18="J № 5",$M18="J № 6",$M18="J № 7",$M18="L",$M18="AL"),Прайс!$D$43*$E18,IF(OR($M18="J № 3L",$M18="J № 3R",$M18="J № 4L",$M18="J № 4R",$M18="J № 5L",$M18="J № 5R"),$N18/2*Прайс!$D$47*$E18,IF($M18="45 град.",$N18*Прайс!$D$42,0))))),0)</f>
        <v>0</v>
      </c>
      <c r="P18" s="192" t="str">
        <f>IF(Бланк!$L35="","",Бланк!$L35)</f>
        <v/>
      </c>
      <c r="Q18" s="192" t="str">
        <f>IF(Бланк!$M35="","",Бланк!$M35)</f>
        <v/>
      </c>
      <c r="R18" s="194">
        <f>IF($P18="",0,IF($Q18=$U18,0,IF($Q18="",0,IF(OR($G18=35,$G18=36,$G18=37,$G18=38),Прайс!$D$118*Бланк!E35,IF(AND($G18="гладкий",OR($M18="J № 1",$M18="J № 2",$M18="J № 2L",$M18="J № 2R")),$N18*Прайс!$D$59,0)))))</f>
        <v>0</v>
      </c>
      <c r="S18" s="192" t="str">
        <f>IF(OR(Бланк!$O35=0,Бланк!$O35=""),"",1)</f>
        <v/>
      </c>
      <c r="T18" s="192" t="str">
        <f>IF(Бланк!$R35="","",Бланк!$R35)</f>
        <v/>
      </c>
      <c r="U18" s="192" t="str">
        <f>IF(Бланк!$S35="","",Бланк!$S35)</f>
        <v/>
      </c>
      <c r="V18" s="192" t="str">
        <f>IF(Бланк!$T35="","",Бланк!$T35)</f>
        <v/>
      </c>
      <c r="W18" s="196" t="str">
        <f>IF(Бланк!$W35="","",Бланк!$W35)</f>
        <v/>
      </c>
      <c r="X18" s="197" t="str">
        <f>IF(Бланк!AB35="","",Бланк!AB35)</f>
        <v/>
      </c>
      <c r="Y18" s="197" t="str">
        <f>IF(Бланк!AC35="","",Бланк!AC35)</f>
        <v/>
      </c>
      <c r="Z18" s="195">
        <f>IF($G18="Гладкий",IF(OR($C18=0,$C18=""),0,IF(AND(OR($V18="Перли",$V18="Металік",$V18="Перл.зол.",$V18="Перл.ср.",$V18="Перл.зол.",$V18="Зор.н.ср.",$V18="Зор.н.зол.",$V18="Зор.н.різн.",$V18="Гума"),OR($F18=4,$F18=6,$F18=8,$F18=10,$F18=16)),$AI18*Прайс!$D$12,IF(AND(OR($V18="",$V18=0),$X18="Матове",OR($F18=4,$F18=6,$F18=8,$F18=10,$F18=16)),$AI18*Прайс!$D$10,IF(AND(OR($V18="",$V18=0),$X18="Глянець",OR($F18=4,$F18=6,$F18=8,$F18=10,$F18=16)),$AI18*Прайс!$D$11,IF(AND(OR($V18="",$V18=0),$X18="Софт(TS)",OR($F18=4,$F18=6,$F18=8,$F18=10,$F18=16)),$AI18*Прайс!#REF!,0))))),0)+IF($G18="Гладкий",0,IF(AND(OR($V18="Перли",$V18="Металік",$V18="Перл.зол.",$V18="Перл.ср.",$V18="Перл.зол.",$V18="Зор.н.ср.",$V18="Зор.н.зол.",$V18="Зор.н.різн.",$V18="Гума"),OR($F18=4,$F18=6,$F18=8,$F18=10,$F18=16),$H18=1),Просчет!$AI18*Прайс!$D$76,IF(AND(OR($V18="",$V18=0),$X18="Матове",OR($F18=4,$F18=6,$F18=8,$F18=10,$F18=16),$H18=1),Просчет!$AI18*Прайс!$D$73,IF(AND(OR($V18="",$V18=0),$X18="Глянець",OR($F18=4,$F18=6,$F18=8,$F18=10,$F18=16),$H18=1),Просчет!$AI18*Прайс!$D$75,IF(AND(OR($V18="",$V18=0),$G18="Софт(TS)",OR($F18=4,$F18=6,$F18=8,$F18=10,$F18=16),$H18=1),$AI18*Прайс!$D$74,IF(AND(OR($V18="",$V18=0),$X18="Матове покриття з патиною",OR($F18=4,$F18=6,$F18=8,$F18=10,$F18=16),$H18=1),$AI18*Прайс!$D$77,IF(AND(OR($V18="",$V18=0),$X18="Глянцеве покриття з патиною",OR($F18=4,$F18=6,$F18=8,$F18=10,$F18=16),$H18=1),$AI18*Прайс!$D$78,IF(AND(OR($V18="",$V18=0),$X18="Матовий DECAPE",OR($F18=4,$F18=6,$F18=8,$F18=10,$F18=16),$H18=1),$AI18*Прайс!$D$79,IF(AND(OR($V18="",$V18=0),$X18="Глянцевий DECAPE",OR($F18=4,$F18=6,$F18=8,$F18=10,$F18=16),$H18=1),$AI18*Прайс!$D$80,0)))))))))+IF($G18="Гладкий",0,IF(AND(OR($V18="Перли",$V18="Металік",$V18="Перл.зол.",$V18="Перл.ср.",$V18="Перл.зол.",$V18="Зор.н.ср.",$V18="Зор.н.зол.",$V18="Зор.н.різн.",$V18="Гума"),OR($F18=4,$F18=6,$F18=8,$F18=10,$F18=16),$H18=2),$AI18*Прайс!$E$76,IF(AND(OR($V18="",$V18=0),$X18="Матове",OR($F18=4,$F18=6,$F18=8,$F18=10,$F18=16),$H18=2),Просчет!$AI18*Прайс!$E$73,IF(AND(OR($V18="",$V18=0),$X18="Глянець",OR($F18=4,$F18=6,$F18=8,$F18=10,$F18=16),$H18=2),$AI18*Прайс!$E$75,IF(AND(OR($V18="",$V18=0),$X18="Софт(TS)",OR($F18=4,$F18=6,$F18=8,$F18=10,$F18=16),$H18=2),$AI18*Прайс!$E$74,IF(AND(OR($V18="",$V18=0),$X18="Матове покриття з патиною",OR($F18=4,$F18=6,$F18=8,$F18=10,$F18=16),$H18=2),$AI18*Прайс!$E$77,IF(AND(OR($V18="",$V18=0),$X18="Глянцеве покриття з патиною",OR($F18=4,$F18=6,$F18=8,$F18=10,$F18=16),$H18=2),$AI18*Прайс!$E$78,IF(AND(OR($V18="",$V18=0),$X18="Матовий DECAPE",OR($F18=4,$F18=6,$F18=8,$F18=10,$F18=16),$H18=2),$AI18*Прайс!$E$79,IF(AND(OR($V18="",$V18=0),$X18="Глянцевий DECAPE",OR($F18=4,$F18=6,$F18=8,$F18=10,$F18=16),$H18=2),$AI18*Прайс!$E$80,0)))))))))+IF(AND($S18=1,OR($H18=1,$H18=0),$X18=Наименование!$L$12,OR($F18=4,$F18=6,$F18=8,$F18=10,$F18=16)),$AI18*Прайс!$D$89,IF(AND($S18=1,OR($H18=1,$H18=0),$X18=Наименование!$L$13,OR($F18=4,$F18=6,$F18=8,$F18=10,$F18=16)),$AI18*Прайс!$D$90,IF(AND($S18=1,OR($H18=1,$H18=0),$X18=Наименование!$L38,OR($F18=4,$F18=6,$F18=8,$F18=10,$F18=16)),$AI18*Прайс!$D$91,IF(AND($S18=1,OR($H18=1,$H18=0),$X18=Наименование!$L$15,OR($F18=4,$F18=6,$F18=8,$F18=10,$F18=16)),$AI18*Прайс!$D$92,0))))+IF(AND($S18=1,$H18=2,$X18=Наименование!$L$12,OR($F18=4,$F18=6,$F18=8,$F18=10,$F18=16)),$AI18*Прайс!$E$89,IF(AND($S18=1,$H18=2,$X18=Наименование!$L$13,OR($F18=4,$F18=6,$F18=8,$F18=10,$F18=16)),$AI18*Прайс!$E$90,IF(AND($S18=1,$H18=2,$X18=Наименование!$L$14,OR($F18=4,$F18=6,$F18=8,$F18=10,$F18=16)),$AI18*Прайс!$E$91,IF(AND($S18=1,$H18=2,$X18=Наименование!$L$15,OR($F18=4,$F18=6,$F18=8,$F18=10,$F18=16)),$AI18*Прайс!$E$92))))</f>
        <v>0</v>
      </c>
      <c r="AA18" s="195">
        <f>IF($G18="Гладкий",IF(OR($C18=0,$C18=""),0,IF(AND(OR($V18="Перли",$V18="Металік",$V18="Перл.зол.",$V18="Перл.ср.",$V18="Перл.зол.",$V18="Зор.н.ср.",$V18="Зор.н.зол.",$V18="Зор.н.різн.",$V18="Гума"),$F18=19),$AI18*Прайс!$E$12,IF(AND(OR($V18="",$V18=0),$X18="Матове",$F18=19),$AI18*Прайс!$E$10,IF(AND(OR($V18="",$V18=0),$X18="Глянець",$F18=19),$AI18*Прайс!$E$11,IF(AND(OR($V18="",$V18=0),$X18="Софт(TS)",$F18=19),$AI18*Прайс!#REF!,0))))),0)+IF($G18="Гладкий",0,IF(AND(OR($V18="Перли",$V18="Металік",$V18="Перл.зол.",$V18="Перл.ср.",$V18="Перл.зол.",$V18="Зор.н.ср.",$V18="Зор.н.зол.",$V18="Зор.н.різн.",$V18="Гума"),$F18=19,$H18=1),Просчет!$AI18*Прайс!$F$76,IF(AND(OR($V18="",$V18=0),$X18="Матове",$F18=19,$H18=1),Просчет!$AI18*Прайс!$F$73,IF(AND(OR($V18="",$V18=0),$X18="Глянець",$F18=19,$H18=1),Просчет!$AI18*Прайс!$F$75,IF(AND(OR($V18="",$V18=0),$G18="Софт(TS)",$F18=19,$H18=1),$AI18*Прайс!$F$74,IF(AND(OR($V18="",$V18=0),$X18="Матове покриття з патиною",$F18=19,$H18=1),$AI18*Прайс!$F$77,IF(AND(OR($V18="",$V18=0),$X18="Глянцеве покриття з патиною",$F18=19,$H18=1),$AI18*Прайс!$F$78,IF(AND(OR($V18="",$V18=0),$X18="Матовий DECAPE",$F18=19,$H18=1),$AI18*Прайс!$F$79,IF(AND(OR($V18="",$V18=0),$X18="Глянцевий DECAPE",$F18=19,$H18=1),$AI18*Прайс!$F$80,0)))))))))+IF($G18="Гладкий",0,IF(AND(OR($V18="Перли",$V18="Металік",$V18="Перл.зол.",$V18="Перл.ср.",$V18="Перл.зол.",$V18="Зор.н.ср.",$V18="Зор.н.зол.",$V18="Зор.н.різн.",$V18="Гума"),$F18=19,$H18=2),$AI18*Прайс!$G$76,IF(AND(OR($V18="",$V18=0),$X18="Матове",$F18=19,$H18=2),Просчет!$AI18*Прайс!$G$73,IF(AND(OR($V18="",$V18=0),$X18="Глянець",$F18=19,$H18=2),$AI18*Прайс!$G$75,IF(AND(OR($V18="",$V18=0),$X18="Софт(TS)",$F18=19,$H18=2),$AI18*Прайс!$G$74,IF(AND(OR($V18="",$V18=0),$X18="Матове покриття з патиною",$F18=19,$H18=2),$AI18*Прайс!$G$77,IF(AND(OR($V18="",$V18=0),$X18="Глянцеве покриття з патиною",$F18=19,$H18=2),$AI18*Прайс!$G$78,IF(AND(OR($V18="",$V18=0),$X18="Матовий DECAPE",$F18=19,$H18=2),$AI18*Прайс!$G$79,IF(AND(OR($V18="",$V18=0),$X18="Глянцевий DECAPE",$F18=19,$H18=2),$AI18*Прайс!$G$78,0)))))))))+IF(AND($S18=1,OR($H18=1,$H18=0),$X18=Наименование!$L$12,$F18=19),$AI18*Прайс!$F$89,IF(AND($S18=1,OR($H18=1,$H18=0),$X18=Наименование!$L$13,$F18=19),$AI18*Прайс!$F$90,IF(AND($S18=1,OR($H18=1,$H18=0),$X18=Наименование!$L38,$F18=19),$AI18*Прайс!$F$91,IF(AND($S18=1,OR($H18=1,$H18=0),$X18=Наименование!$L$15,$F18=19),$AI18*Прайс!$F$92,0))))+IF(AND($S18=1,$H18=2,$X18=Наименование!$L$12,$F18=19),$AI18*Прайс!$G$89,IF(AND($S18=1,$H18=2,$X18=Наименование!$L$13,$F18=19),$AI18*Прайс!$G$90,IF(AND($S18=1,$H18=2,$X18=Наименование!$L$14,$F18=19),$AI18*Прайс!$G$91,IF(AND($S18=1,$H18=2,$X18=Наименование!$L$15,$F18=19),$AI18*Прайс!$G$92))))</f>
        <v>0</v>
      </c>
      <c r="AB18" s="195">
        <f>IF($G18="Гладкий",IF(OR($C18=0,$C18=""),0,IF($Y18="Матове",$AI18*(Прайс!$D$10-500),IF($Y18="Глянець",$AI18*(Прайс!$D$11-500),IF($Y18="Софт(TS)",$AI18*(Прайс!#REF!-500),0)))),0)+IF($G18="Гладкий",0,IF(AND($Y18="Матове",$H18=1),$AI18*Прайс!$D$73*0.5,IF(AND($Y18="Глянець",$H18=1),$AI18*Прайс!$D$75*0.5,IF(AND($Y18="Софт(TS)",$H18=1),$AI18*Прайс!$D$74*0.5,IF(AND($Y18="Матове покриття з патиною",$H18=1),$AI18*Прайс!$D$77*0.5,IF(AND($Y18="Глянцеве покриття з патиною",$H18=1),$AI18*Прайс!$D$78*0.5,IF(AND($Y18="Матовий DECAPE",$H18=1),$AI18*Прайс!$D$79*0.5,IF(AND($Y18="Глянцевий DECAPE",$H18=1),$AI18*Прайс!$D$80*0.5,0))))))))+IF($G18="Гладкий",0,IF(AND($Y18="Матове",$H18=2),$AI18*Прайс!$E$73*0.5,IF(AND($Y18="Глянець",$H18=2),$AI18*Прайс!$E$75*0.5,IF(AND($Y18="Софт(TS)",$H18=2),$AI18*Прайс!$E$74*0.5,IF(AND($Y18="Матове покриття з патиною",$H18=2),$AI18*Прайс!$E$77*0.5,IF(AND($Y18="Глянцеве покриття з патиною",$H18=2),$AI18*Прайс!$E$78*0.5,IF(AND($Y18="Матовий DECAPE",$H18=2),$AI18*Прайс!$E$79*0.5,IF(AND($Y18="Глянцевий DECAPE",$H18=2),$AI18*Прайс!$E$80*0.5,0)))))))+IF(AND($S18=1,OR($H18=1,$H18=0),$Y18=Прайс!$C$89),$AI18*[1]Прайс!$D$74*0.5,IF(AND($S18=1,OR($H18=1,$H18=0),$Y18=Прайс!$C$90),$AI18*Прайс!$D$90*0.5,IF(AND($S18=1,OR($H18=1,$H18=0),$Y18=Прайс!$C$91),$AI18*Прайс!$D$91*0.5,IF(AND($S18=1,OR($H18=1,$H18=0),$Y18=Прайс!$C$92),$AI18*Прайс!$D$92*0.5,0))))+IF(AND($S18=1,$H18=2,$Y18=Прайс!$C$89),$AI18*Прайс!$E$89*0.5,IF(AND($S18=1,$H18=2,$Y18=Прайс!$C$90),$AI18*Прайс!$E$90*0.5,IF(AND($S18=1,$H18=2,$Y18=Прайс!$C$91),$AI18*Прайс!$E$91*0.5,IF(AND($S18=1,$H18=2,$Y18=Прайс!$C$92),$AI18*Прайс!$E$92*0.5,0)))))</f>
        <v>0</v>
      </c>
      <c r="AC18" s="197" t="str">
        <f>IF(Бланк!AD35="","",Бланк!AD35*E18)</f>
        <v/>
      </c>
      <c r="AD18" s="195">
        <f>IF(OR($AC18=0,$AC18=""),0,$AC18*Прайс!$D$111)</f>
        <v>0</v>
      </c>
      <c r="AE18" s="197" t="str">
        <f>IF(Бланк!AE35="","",Бланк!AE35)</f>
        <v/>
      </c>
      <c r="AF18" s="197" t="str">
        <f>IF(Бланк!AF35="","",Бланк!AF35)</f>
        <v/>
      </c>
      <c r="AG18" s="197" t="str">
        <f>IF(Бланк!AG35="","",Бланк!AG35)</f>
        <v/>
      </c>
      <c r="AH18" s="197" t="str">
        <f>IF(Бланк!AH35="","",Бланк!AH35)</f>
        <v/>
      </c>
      <c r="AI18" s="139">
        <f>IF(Бланк!$AI35="","",Бланк!$AI35)</f>
        <v>0</v>
      </c>
      <c r="AJ18" s="198"/>
      <c r="AK18" s="198"/>
      <c r="AL18" s="198"/>
      <c r="AM18" s="199"/>
      <c r="AN18" s="199"/>
      <c r="AO18" s="199"/>
      <c r="AP18" s="199"/>
      <c r="AQ18" s="200"/>
      <c r="AR18" s="190"/>
    </row>
    <row r="19" spans="2:44" s="202" customFormat="1" ht="21" customHeight="1" x14ac:dyDescent="0.3">
      <c r="B19" s="201">
        <v>16</v>
      </c>
      <c r="C19" s="192" t="str">
        <f>IF(Бланк!$C36="","",Бланк!$C36/1000)</f>
        <v/>
      </c>
      <c r="D19" s="192" t="str">
        <f>IF(Бланк!$D36="","",Бланк!$D36/1000)</f>
        <v/>
      </c>
      <c r="E19" s="192" t="str">
        <f>IF(Бланк!$E36="","",Бланк!$E36)</f>
        <v/>
      </c>
      <c r="F19" s="192" t="str">
        <f>IF(Бланк!$F36="","",Бланк!$F36)</f>
        <v/>
      </c>
      <c r="G19" s="192" t="str">
        <f>IF(Бланк!$G36="","",Бланк!$G36)</f>
        <v/>
      </c>
      <c r="H19" s="193" t="str">
        <f>IF($G19="","",VLOOKUP($G19,Наименование!$M$42:$N$95,2,FALSE))</f>
        <v/>
      </c>
      <c r="I19" s="192" t="str">
        <f>IF(Бланк!$H36="","",Бланк!$H36)</f>
        <v/>
      </c>
      <c r="J19" s="192" t="str">
        <f>IF(Бланк!$I36="","",Бланк!$I36)</f>
        <v/>
      </c>
      <c r="K19" s="194" t="str">
        <f>IF(OR($J19="",$J19=0),"",IF($J19="Пряма з чвертю",(Прайс!$D$106+Прайс!$D$109)*Просчет!$E19,IF($J19="Пряма без чверті",Прайс!$D$106*Просчет!$E19,IF(AND($J19="Шпрос з чвертю",OR($C19&lt;1,$C19=1)),(Прайс!$D$37+Прайс!$D$40)*Просчет!$E19,IF(AND($J19="Шпрос з чвертю",$C19&gt;1),(Прайс!$F$37+Прайс!$D$40)*Просчет!$E19,IF(AND($J19="Шпрос без чверті",OR($C19&lt;1,$C19=1)),Прайс!$D$37*Просчет!$E19,IF(AND($J19="Шпрос без чверті",$C19&gt;1),Прайс!$F$37*Просчет!$E19,"")))))))</f>
        <v/>
      </c>
      <c r="L19" s="192" t="str">
        <f>IF(Бланк!$J36="","",Бланк!$J36/1000)</f>
        <v/>
      </c>
      <c r="M19" s="192" t="str">
        <f>IF(Бланк!$K36="","",Бланк!$K36)</f>
        <v/>
      </c>
      <c r="N19" s="195">
        <f t="shared" si="0"/>
        <v>0</v>
      </c>
      <c r="O19" s="194">
        <f>IF($G19="гладкий",IF($M19="","",IF(OR($M19="J № 1",$M19="J № 2",$M19="J № 2L",$M19="J № 2R",$M19="AJ № 2",$M19="AJ № 2L",$M19="AJ № 2R",$M19="U",$M19="V"),$N19*Прайс!$D$43,IF(OR($M19="AJ № 3R",$M19="AJ № 4R",$M19="AJ № 5R",$M19="AJ № 3L",$M19="AJ № 4L",$M19="AJ № 5L",$M19="AJ № 3",$M19="AJ № 4",$M19="AJ № 5",$M19="J № 3",$M19="J № 4",$M19="J № 5",$M19="J № 6",$M19="J № 7",$M19="L",$M19="AL"),Прайс!$D$43*$E19,IF(OR($M19="J № 3L",$M19="J № 3R",$M19="J № 4L",$M19="J № 4R",$M19="J № 5L",$M19="J № 5R"),$N19/2*Прайс!$D$47*$E19,IF($M19="45 град.",$N19*Прайс!$D$42,0))))),0)</f>
        <v>0</v>
      </c>
      <c r="P19" s="192" t="str">
        <f>IF(Бланк!$L36="","",Бланк!$L36)</f>
        <v/>
      </c>
      <c r="Q19" s="192" t="str">
        <f>IF(Бланк!$M36="","",Бланк!$M36)</f>
        <v/>
      </c>
      <c r="R19" s="194">
        <f>IF($P19="",0,IF($Q19=$U19,0,IF($Q19="",0,IF(OR($G19=35,$G19=36,$G19=37,$G19=38),Прайс!$D$118*Бланк!E36,IF(AND($G19="гладкий",OR($M19="J № 1",$M19="J № 2",$M19="J № 2L",$M19="J № 2R")),$N19*Прайс!$D$59,0)))))</f>
        <v>0</v>
      </c>
      <c r="S19" s="192" t="str">
        <f>IF(OR(Бланк!$O36=0,Бланк!$O36=""),"",1)</f>
        <v/>
      </c>
      <c r="T19" s="192" t="str">
        <f>IF(Бланк!$R36="","",Бланк!$R36)</f>
        <v/>
      </c>
      <c r="U19" s="192" t="str">
        <f>IF(Бланк!$S36="","",Бланк!$S36)</f>
        <v/>
      </c>
      <c r="V19" s="192" t="str">
        <f>IF(Бланк!$T36="","",Бланк!$T36)</f>
        <v/>
      </c>
      <c r="W19" s="196" t="str">
        <f>IF(Бланк!$W36="","",Бланк!$W36)</f>
        <v/>
      </c>
      <c r="X19" s="197" t="str">
        <f>IF(Бланк!AB36="","",Бланк!AB36)</f>
        <v/>
      </c>
      <c r="Y19" s="197" t="str">
        <f>IF(Бланк!AC36="","",Бланк!AC36)</f>
        <v/>
      </c>
      <c r="Z19" s="195">
        <f>IF($G19="Гладкий",IF(OR($C19=0,$C19=""),0,IF(AND(OR($V19="Перли",$V19="Металік",$V19="Перл.зол.",$V19="Перл.ср.",$V19="Перл.зол.",$V19="Зор.н.ср.",$V19="Зор.н.зол.",$V19="Зор.н.різн.",$V19="Гума"),OR($F19=4,$F19=6,$F19=8,$F19=10,$F19=16)),$AI19*Прайс!$D$12,IF(AND(OR($V19="",$V19=0),$X19="Матове",OR($F19=4,$F19=6,$F19=8,$F19=10,$F19=16)),$AI19*Прайс!$D$10,IF(AND(OR($V19="",$V19=0),$X19="Глянець",OR($F19=4,$F19=6,$F19=8,$F19=10,$F19=16)),$AI19*Прайс!$D$11,IF(AND(OR($V19="",$V19=0),$X19="Софт(TS)",OR($F19=4,$F19=6,$F19=8,$F19=10,$F19=16)),$AI19*Прайс!#REF!,0))))),0)+IF($G19="Гладкий",0,IF(AND(OR($V19="Перли",$V19="Металік",$V19="Перл.зол.",$V19="Перл.ср.",$V19="Перл.зол.",$V19="Зор.н.ср.",$V19="Зор.н.зол.",$V19="Зор.н.різн.",$V19="Гума"),OR($F19=4,$F19=6,$F19=8,$F19=10,$F19=16),$H19=1),Просчет!$AI19*Прайс!$D$76,IF(AND(OR($V19="",$V19=0),$X19="Матове",OR($F19=4,$F19=6,$F19=8,$F19=10,$F19=16),$H19=1),Просчет!$AI19*Прайс!$D$73,IF(AND(OR($V19="",$V19=0),$X19="Глянець",OR($F19=4,$F19=6,$F19=8,$F19=10,$F19=16),$H19=1),Просчет!$AI19*Прайс!$D$75,IF(AND(OR($V19="",$V19=0),$G19="Софт(TS)",OR($F19=4,$F19=6,$F19=8,$F19=10,$F19=16),$H19=1),$AI19*Прайс!$D$74,IF(AND(OR($V19="",$V19=0),$X19="Матове покриття з патиною",OR($F19=4,$F19=6,$F19=8,$F19=10,$F19=16),$H19=1),$AI19*Прайс!$D$77,IF(AND(OR($V19="",$V19=0),$X19="Глянцеве покриття з патиною",OR($F19=4,$F19=6,$F19=8,$F19=10,$F19=16),$H19=1),$AI19*Прайс!$D$78,IF(AND(OR($V19="",$V19=0),$X19="Матовий DECAPE",OR($F19=4,$F19=6,$F19=8,$F19=10,$F19=16),$H19=1),$AI19*Прайс!$D$79,IF(AND(OR($V19="",$V19=0),$X19="Глянцевий DECAPE",OR($F19=4,$F19=6,$F19=8,$F19=10,$F19=16),$H19=1),$AI19*Прайс!$D$80,0)))))))))+IF($G19="Гладкий",0,IF(AND(OR($V19="Перли",$V19="Металік",$V19="Перл.зол.",$V19="Перл.ср.",$V19="Перл.зол.",$V19="Зор.н.ср.",$V19="Зор.н.зол.",$V19="Зор.н.різн.",$V19="Гума"),OR($F19=4,$F19=6,$F19=8,$F19=10,$F19=16),$H19=2),$AI19*Прайс!$E$76,IF(AND(OR($V19="",$V19=0),$X19="Матове",OR($F19=4,$F19=6,$F19=8,$F19=10,$F19=16),$H19=2),Просчет!$AI19*Прайс!$E$73,IF(AND(OR($V19="",$V19=0),$X19="Глянець",OR($F19=4,$F19=6,$F19=8,$F19=10,$F19=16),$H19=2),$AI19*Прайс!$E$75,IF(AND(OR($V19="",$V19=0),$X19="Софт(TS)",OR($F19=4,$F19=6,$F19=8,$F19=10,$F19=16),$H19=2),$AI19*Прайс!$E$74,IF(AND(OR($V19="",$V19=0),$X19="Матове покриття з патиною",OR($F19=4,$F19=6,$F19=8,$F19=10,$F19=16),$H19=2),$AI19*Прайс!$E$77,IF(AND(OR($V19="",$V19=0),$X19="Глянцеве покриття з патиною",OR($F19=4,$F19=6,$F19=8,$F19=10,$F19=16),$H19=2),$AI19*Прайс!$E$78,IF(AND(OR($V19="",$V19=0),$X19="Матовий DECAPE",OR($F19=4,$F19=6,$F19=8,$F19=10,$F19=16),$H19=2),$AI19*Прайс!$E$79,IF(AND(OR($V19="",$V19=0),$X19="Глянцевий DECAPE",OR($F19=4,$F19=6,$F19=8,$F19=10,$F19=16),$H19=2),$AI19*Прайс!$E$80,0)))))))))+IF(AND($S19=1,OR($H19=1,$H19=0),$X19=Наименование!$L$12,OR($F19=4,$F19=6,$F19=8,$F19=10,$F19=16)),$AI19*Прайс!$D$89,IF(AND($S19=1,OR($H19=1,$H19=0),$X19=Наименование!$L$13,OR($F19=4,$F19=6,$F19=8,$F19=10,$F19=16)),$AI19*Прайс!$D$90,IF(AND($S19=1,OR($H19=1,$H19=0),$X19=Наименование!$L39,OR($F19=4,$F19=6,$F19=8,$F19=10,$F19=16)),$AI19*Прайс!$D$91,IF(AND($S19=1,OR($H19=1,$H19=0),$X19=Наименование!$L$15,OR($F19=4,$F19=6,$F19=8,$F19=10,$F19=16)),$AI19*Прайс!$D$92,0))))+IF(AND($S19=1,$H19=2,$X19=Наименование!$L$12,OR($F19=4,$F19=6,$F19=8,$F19=10,$F19=16)),$AI19*Прайс!$E$89,IF(AND($S19=1,$H19=2,$X19=Наименование!$L$13,OR($F19=4,$F19=6,$F19=8,$F19=10,$F19=16)),$AI19*Прайс!$E$90,IF(AND($S19=1,$H19=2,$X19=Наименование!$L$14,OR($F19=4,$F19=6,$F19=8,$F19=10,$F19=16)),$AI19*Прайс!$E$91,IF(AND($S19=1,$H19=2,$X19=Наименование!$L$15,OR($F19=4,$F19=6,$F19=8,$F19=10,$F19=16)),$AI19*Прайс!$E$92))))</f>
        <v>0</v>
      </c>
      <c r="AA19" s="195">
        <f>IF($G19="Гладкий",IF(OR($C19=0,$C19=""),0,IF(AND(OR($V19="Перли",$V19="Металік",$V19="Перл.зол.",$V19="Перл.ср.",$V19="Перл.зол.",$V19="Зор.н.ср.",$V19="Зор.н.зол.",$V19="Зор.н.різн.",$V19="Гума"),$F19=19),$AI19*Прайс!$E$12,IF(AND(OR($V19="",$V19=0),$X19="Матове",$F19=19),$AI19*Прайс!$E$10,IF(AND(OR($V19="",$V19=0),$X19="Глянець",$F19=19),$AI19*Прайс!$E$11,IF(AND(OR($V19="",$V19=0),$X19="Софт(TS)",$F19=19),$AI19*Прайс!#REF!,0))))),0)+IF($G19="Гладкий",0,IF(AND(OR($V19="Перли",$V19="Металік",$V19="Перл.зол.",$V19="Перл.ср.",$V19="Перл.зол.",$V19="Зор.н.ср.",$V19="Зор.н.зол.",$V19="Зор.н.різн.",$V19="Гума"),$F19=19,$H19=1),Просчет!$AI19*Прайс!$F$76,IF(AND(OR($V19="",$V19=0),$X19="Матове",$F19=19,$H19=1),Просчет!$AI19*Прайс!$F$73,IF(AND(OR($V19="",$V19=0),$X19="Глянець",$F19=19,$H19=1),Просчет!$AI19*Прайс!$F$75,IF(AND(OR($V19="",$V19=0),$G19="Софт(TS)",$F19=19,$H19=1),$AI19*Прайс!$F$74,IF(AND(OR($V19="",$V19=0),$X19="Матове покриття з патиною",$F19=19,$H19=1),$AI19*Прайс!$F$77,IF(AND(OR($V19="",$V19=0),$X19="Глянцеве покриття з патиною",$F19=19,$H19=1),$AI19*Прайс!$F$78,IF(AND(OR($V19="",$V19=0),$X19="Матовий DECAPE",$F19=19,$H19=1),$AI19*Прайс!$F$79,IF(AND(OR($V19="",$V19=0),$X19="Глянцевий DECAPE",$F19=19,$H19=1),$AI19*Прайс!$F$80,0)))))))))+IF($G19="Гладкий",0,IF(AND(OR($V19="Перли",$V19="Металік",$V19="Перл.зол.",$V19="Перл.ср.",$V19="Перл.зол.",$V19="Зор.н.ср.",$V19="Зор.н.зол.",$V19="Зор.н.різн.",$V19="Гума"),$F19=19,$H19=2),$AI19*Прайс!$G$76,IF(AND(OR($V19="",$V19=0),$X19="Матове",$F19=19,$H19=2),Просчет!$AI19*Прайс!$G$73,IF(AND(OR($V19="",$V19=0),$X19="Глянець",$F19=19,$H19=2),$AI19*Прайс!$G$75,IF(AND(OR($V19="",$V19=0),$X19="Софт(TS)",$F19=19,$H19=2),$AI19*Прайс!$G$74,IF(AND(OR($V19="",$V19=0),$X19="Матове покриття з патиною",$F19=19,$H19=2),$AI19*Прайс!$G$77,IF(AND(OR($V19="",$V19=0),$X19="Глянцеве покриття з патиною",$F19=19,$H19=2),$AI19*Прайс!$G$78,IF(AND(OR($V19="",$V19=0),$X19="Матовий DECAPE",$F19=19,$H19=2),$AI19*Прайс!$G$79,IF(AND(OR($V19="",$V19=0),$X19="Глянцевий DECAPE",$F19=19,$H19=2),$AI19*Прайс!$G$78,0)))))))))+IF(AND($S19=1,OR($H19=1,$H19=0),$X19=Наименование!$L$12,$F19=19),$AI19*Прайс!$F$89,IF(AND($S19=1,OR($H19=1,$H19=0),$X19=Наименование!$L$13,$F19=19),$AI19*Прайс!$F$90,IF(AND($S19=1,OR($H19=1,$H19=0),$X19=Наименование!$L39,$F19=19),$AI19*Прайс!$F$91,IF(AND($S19=1,OR($H19=1,$H19=0),$X19=Наименование!$L$15,$F19=19),$AI19*Прайс!$F$92,0))))+IF(AND($S19=1,$H19=2,$X19=Наименование!$L$12,$F19=19),$AI19*Прайс!$G$89,IF(AND($S19=1,$H19=2,$X19=Наименование!$L$13,$F19=19),$AI19*Прайс!$G$90,IF(AND($S19=1,$H19=2,$X19=Наименование!$L$14,$F19=19),$AI19*Прайс!$G$91,IF(AND($S19=1,$H19=2,$X19=Наименование!$L$15,$F19=19),$AI19*Прайс!$G$92))))</f>
        <v>0</v>
      </c>
      <c r="AB19" s="195">
        <f>IF($G19="Гладкий",IF(OR($C19=0,$C19=""),0,IF($Y19="Матове",$AI19*(Прайс!$D$10-500),IF($Y19="Глянець",$AI19*(Прайс!$D$11-500),IF($Y19="Софт(TS)",$AI19*(Прайс!#REF!-500),0)))),0)+IF($G19="Гладкий",0,IF(AND($Y19="Матове",$H19=1),$AI19*Прайс!$D$73*0.5,IF(AND($Y19="Глянець",$H19=1),$AI19*Прайс!$D$75*0.5,IF(AND($Y19="Софт(TS)",$H19=1),$AI19*Прайс!$D$74*0.5,IF(AND($Y19="Матове покриття з патиною",$H19=1),$AI19*Прайс!$D$77*0.5,IF(AND($Y19="Глянцеве покриття з патиною",$H19=1),$AI19*Прайс!$D$78*0.5,IF(AND($Y19="Матовий DECAPE",$H19=1),$AI19*Прайс!$D$79*0.5,IF(AND($Y19="Глянцевий DECAPE",$H19=1),$AI19*Прайс!$D$80*0.5,0))))))))+IF($G19="Гладкий",0,IF(AND($Y19="Матове",$H19=2),$AI19*Прайс!$E$73*0.5,IF(AND($Y19="Глянець",$H19=2),$AI19*Прайс!$E$75*0.5,IF(AND($Y19="Софт(TS)",$H19=2),$AI19*Прайс!$E$74*0.5,IF(AND($Y19="Матове покриття з патиною",$H19=2),$AI19*Прайс!$E$77*0.5,IF(AND($Y19="Глянцеве покриття з патиною",$H19=2),$AI19*Прайс!$E$78*0.5,IF(AND($Y19="Матовий DECAPE",$H19=2),$AI19*Прайс!$E$79*0.5,IF(AND($Y19="Глянцевий DECAPE",$H19=2),$AI19*Прайс!$E$80*0.5,0)))))))+IF(AND($S19=1,OR($H19=1,$H19=0),$Y19=Прайс!$C$89),$AI19*[1]Прайс!$D$74*0.5,IF(AND($S19=1,OR($H19=1,$H19=0),$Y19=Прайс!$C$90),$AI19*Прайс!$D$90*0.5,IF(AND($S19=1,OR($H19=1,$H19=0),$Y19=Прайс!$C$91),$AI19*Прайс!$D$91*0.5,IF(AND($S19=1,OR($H19=1,$H19=0),$Y19=Прайс!$C$92),$AI19*Прайс!$D$92*0.5,0))))+IF(AND($S19=1,$H19=2,$Y19=Прайс!$C$89),$AI19*Прайс!$E$89*0.5,IF(AND($S19=1,$H19=2,$Y19=Прайс!$C$90),$AI19*Прайс!$E$90*0.5,IF(AND($S19=1,$H19=2,$Y19=Прайс!$C$91),$AI19*Прайс!$E$91*0.5,IF(AND($S19=1,$H19=2,$Y19=Прайс!$C$92),$AI19*Прайс!$E$92*0.5,0)))))</f>
        <v>0</v>
      </c>
      <c r="AC19" s="197" t="str">
        <f>IF(Бланк!AD36="","",Бланк!AD36*E19)</f>
        <v/>
      </c>
      <c r="AD19" s="195">
        <f>IF(OR($AC19=0,$AC19=""),0,$AC19*Прайс!$D$111)</f>
        <v>0</v>
      </c>
      <c r="AE19" s="197" t="str">
        <f>IF(Бланк!AE36="","",Бланк!AE36)</f>
        <v/>
      </c>
      <c r="AF19" s="197" t="str">
        <f>IF(Бланк!AF36="","",Бланк!AF36)</f>
        <v/>
      </c>
      <c r="AG19" s="197" t="str">
        <f>IF(Бланк!AG36="","",Бланк!AG36)</f>
        <v/>
      </c>
      <c r="AH19" s="197" t="str">
        <f>IF(Бланк!AH36="","",Бланк!AH36)</f>
        <v/>
      </c>
      <c r="AI19" s="139">
        <f>IF(Бланк!$AI36="","",Бланк!$AI36)</f>
        <v>0</v>
      </c>
      <c r="AJ19" s="198"/>
      <c r="AK19" s="198"/>
      <c r="AL19" s="198"/>
      <c r="AM19" s="199"/>
      <c r="AN19" s="199"/>
      <c r="AO19" s="199"/>
      <c r="AP19" s="199"/>
      <c r="AQ19" s="200"/>
      <c r="AR19" s="190"/>
    </row>
    <row r="20" spans="2:44" s="202" customFormat="1" ht="21" customHeight="1" x14ac:dyDescent="0.3">
      <c r="B20" s="201">
        <v>17</v>
      </c>
      <c r="C20" s="192" t="str">
        <f>IF(Бланк!$C37="","",Бланк!$C37/1000)</f>
        <v/>
      </c>
      <c r="D20" s="192" t="str">
        <f>IF(Бланк!$D37="","",Бланк!$D37/1000)</f>
        <v/>
      </c>
      <c r="E20" s="192" t="str">
        <f>IF(Бланк!$E37="","",Бланк!$E37)</f>
        <v/>
      </c>
      <c r="F20" s="192" t="str">
        <f>IF(Бланк!$F37="","",Бланк!$F37)</f>
        <v/>
      </c>
      <c r="G20" s="192" t="str">
        <f>IF(Бланк!$G37="","",Бланк!$G37)</f>
        <v/>
      </c>
      <c r="H20" s="193" t="str">
        <f>IF($G20="","",VLOOKUP($G20,Наименование!$M$42:$N$95,2,FALSE))</f>
        <v/>
      </c>
      <c r="I20" s="192" t="str">
        <f>IF(Бланк!$H37="","",Бланк!$H37)</f>
        <v/>
      </c>
      <c r="J20" s="192" t="str">
        <f>IF(Бланк!$I37="","",Бланк!$I37)</f>
        <v/>
      </c>
      <c r="K20" s="194" t="str">
        <f>IF(OR($J20="",$J20=0),"",IF($J20="Пряма з чвертю",(Прайс!$D$106+Прайс!$D$109)*Просчет!$E20,IF($J20="Пряма без чверті",Прайс!$D$106*Просчет!$E20,IF(AND($J20="Шпрос з чвертю",OR($C20&lt;1,$C20=1)),(Прайс!$D$37+Прайс!$D$40)*Просчет!$E20,IF(AND($J20="Шпрос з чвертю",$C20&gt;1),(Прайс!$F$37+Прайс!$D$40)*Просчет!$E20,IF(AND($J20="Шпрос без чверті",OR($C20&lt;1,$C20=1)),Прайс!$D$37*Просчет!$E20,IF(AND($J20="Шпрос без чверті",$C20&gt;1),Прайс!$F$37*Просчет!$E20,"")))))))</f>
        <v/>
      </c>
      <c r="L20" s="192" t="str">
        <f>IF(Бланк!$J37="","",Бланк!$J37/1000)</f>
        <v/>
      </c>
      <c r="M20" s="192" t="str">
        <f>IF(Бланк!$K37="","",Бланк!$K37)</f>
        <v/>
      </c>
      <c r="N20" s="195">
        <f t="shared" si="0"/>
        <v>0</v>
      </c>
      <c r="O20" s="194">
        <f>IF($G20="гладкий",IF($M20="","",IF(OR($M20="J № 1",$M20="J № 2",$M20="J № 2L",$M20="J № 2R",$M20="AJ № 2",$M20="AJ № 2L",$M20="AJ № 2R",$M20="U",$M20="V"),$N20*Прайс!$D$43,IF(OR($M20="AJ № 3R",$M20="AJ № 4R",$M20="AJ № 5R",$M20="AJ № 3L",$M20="AJ № 4L",$M20="AJ № 5L",$M20="AJ № 3",$M20="AJ № 4",$M20="AJ № 5",$M20="J № 3",$M20="J № 4",$M20="J № 5",$M20="J № 6",$M20="J № 7",$M20="L",$M20="AL"),Прайс!$D$43*$E20,IF(OR($M20="J № 3L",$M20="J № 3R",$M20="J № 4L",$M20="J № 4R",$M20="J № 5L",$M20="J № 5R"),$N20/2*Прайс!$D$47*$E20,IF($M20="45 град.",$N20*Прайс!$D$42,0))))),0)</f>
        <v>0</v>
      </c>
      <c r="P20" s="192" t="str">
        <f>IF(Бланк!$L37="","",Бланк!$L37)</f>
        <v/>
      </c>
      <c r="Q20" s="192" t="str">
        <f>IF(Бланк!$M37="","",Бланк!$M37)</f>
        <v/>
      </c>
      <c r="R20" s="194">
        <f>IF($P20="",0,IF($Q20=$U20,0,IF($Q20="",0,IF(OR($G20=35,$G20=36,$G20=37,$G20=38),Прайс!$D$118*Бланк!E37,IF(AND($G20="гладкий",OR($M20="J № 1",$M20="J № 2",$M20="J № 2L",$M20="J № 2R")),$N20*Прайс!$D$59,0)))))</f>
        <v>0</v>
      </c>
      <c r="S20" s="192" t="str">
        <f>IF(OR(Бланк!$O37=0,Бланк!$O37=""),"",1)</f>
        <v/>
      </c>
      <c r="T20" s="192" t="str">
        <f>IF(Бланк!$R37="","",Бланк!$R37)</f>
        <v/>
      </c>
      <c r="U20" s="192" t="str">
        <f>IF(Бланк!$S37="","",Бланк!$S37)</f>
        <v/>
      </c>
      <c r="V20" s="192" t="str">
        <f>IF(Бланк!$T37="","",Бланк!$T37)</f>
        <v/>
      </c>
      <c r="W20" s="196" t="str">
        <f>IF(Бланк!$W37="","",Бланк!$W37)</f>
        <v/>
      </c>
      <c r="X20" s="197" t="str">
        <f>IF(Бланк!AB37="","",Бланк!AB37)</f>
        <v/>
      </c>
      <c r="Y20" s="197" t="str">
        <f>IF(Бланк!AC37="","",Бланк!AC37)</f>
        <v/>
      </c>
      <c r="Z20" s="195">
        <f>IF($G20="Гладкий",IF(OR($C20=0,$C20=""),0,IF(AND(OR($V20="Перли",$V20="Металік",$V20="Перл.зол.",$V20="Перл.ср.",$V20="Перл.зол.",$V20="Зор.н.ср.",$V20="Зор.н.зол.",$V20="Зор.н.різн.",$V20="Гума"),OR($F20=4,$F20=6,$F20=8,$F20=10,$F20=16)),$AI20*Прайс!$D$12,IF(AND(OR($V20="",$V20=0),$X20="Матове",OR($F20=4,$F20=6,$F20=8,$F20=10,$F20=16)),$AI20*Прайс!$D$10,IF(AND(OR($V20="",$V20=0),$X20="Глянець",OR($F20=4,$F20=6,$F20=8,$F20=10,$F20=16)),$AI20*Прайс!$D$11,IF(AND(OR($V20="",$V20=0),$X20="Софт(TS)",OR($F20=4,$F20=6,$F20=8,$F20=10,$F20=16)),$AI20*Прайс!#REF!,0))))),0)+IF($G20="Гладкий",0,IF(AND(OR($V20="Перли",$V20="Металік",$V20="Перл.зол.",$V20="Перл.ср.",$V20="Перл.зол.",$V20="Зор.н.ср.",$V20="Зор.н.зол.",$V20="Зор.н.різн.",$V20="Гума"),OR($F20=4,$F20=6,$F20=8,$F20=10,$F20=16),$H20=1),Просчет!$AI20*Прайс!$D$76,IF(AND(OR($V20="",$V20=0),$X20="Матове",OR($F20=4,$F20=6,$F20=8,$F20=10,$F20=16),$H20=1),Просчет!$AI20*Прайс!$D$73,IF(AND(OR($V20="",$V20=0),$X20="Глянець",OR($F20=4,$F20=6,$F20=8,$F20=10,$F20=16),$H20=1),Просчет!$AI20*Прайс!$D$75,IF(AND(OR($V20="",$V20=0),$G20="Софт(TS)",OR($F20=4,$F20=6,$F20=8,$F20=10,$F20=16),$H20=1),$AI20*Прайс!$D$74,IF(AND(OR($V20="",$V20=0),$X20="Матове покриття з патиною",OR($F20=4,$F20=6,$F20=8,$F20=10,$F20=16),$H20=1),$AI20*Прайс!$D$77,IF(AND(OR($V20="",$V20=0),$X20="Глянцеве покриття з патиною",OR($F20=4,$F20=6,$F20=8,$F20=10,$F20=16),$H20=1),$AI20*Прайс!$D$78,IF(AND(OR($V20="",$V20=0),$X20="Матовий DECAPE",OR($F20=4,$F20=6,$F20=8,$F20=10,$F20=16),$H20=1),$AI20*Прайс!$D$79,IF(AND(OR($V20="",$V20=0),$X20="Глянцевий DECAPE",OR($F20=4,$F20=6,$F20=8,$F20=10,$F20=16),$H20=1),$AI20*Прайс!$D$80,0)))))))))+IF($G20="Гладкий",0,IF(AND(OR($V20="Перли",$V20="Металік",$V20="Перл.зол.",$V20="Перл.ср.",$V20="Перл.зол.",$V20="Зор.н.ср.",$V20="Зор.н.зол.",$V20="Зор.н.різн.",$V20="Гума"),OR($F20=4,$F20=6,$F20=8,$F20=10,$F20=16),$H20=2),$AI20*Прайс!$E$76,IF(AND(OR($V20="",$V20=0),$X20="Матове",OR($F20=4,$F20=6,$F20=8,$F20=10,$F20=16),$H20=2),Просчет!$AI20*Прайс!$E$73,IF(AND(OR($V20="",$V20=0),$X20="Глянець",OR($F20=4,$F20=6,$F20=8,$F20=10,$F20=16),$H20=2),$AI20*Прайс!$E$75,IF(AND(OR($V20="",$V20=0),$X20="Софт(TS)",OR($F20=4,$F20=6,$F20=8,$F20=10,$F20=16),$H20=2),$AI20*Прайс!$E$74,IF(AND(OR($V20="",$V20=0),$X20="Матове покриття з патиною",OR($F20=4,$F20=6,$F20=8,$F20=10,$F20=16),$H20=2),$AI20*Прайс!$E$77,IF(AND(OR($V20="",$V20=0),$X20="Глянцеве покриття з патиною",OR($F20=4,$F20=6,$F20=8,$F20=10,$F20=16),$H20=2),$AI20*Прайс!$E$78,IF(AND(OR($V20="",$V20=0),$X20="Матовий DECAPE",OR($F20=4,$F20=6,$F20=8,$F20=10,$F20=16),$H20=2),$AI20*Прайс!$E$79,IF(AND(OR($V20="",$V20=0),$X20="Глянцевий DECAPE",OR($F20=4,$F20=6,$F20=8,$F20=10,$F20=16),$H20=2),$AI20*Прайс!$E$80,0)))))))))+IF(AND($S20=1,OR($H20=1,$H20=0),$X20=Наименование!$L$12,OR($F20=4,$F20=6,$F20=8,$F20=10,$F20=16)),$AI20*Прайс!$D$89,IF(AND($S20=1,OR($H20=1,$H20=0),$X20=Наименование!$L$13,OR($F20=4,$F20=6,$F20=8,$F20=10,$F20=16)),$AI20*Прайс!$D$90,IF(AND($S20=1,OR($H20=1,$H20=0),$X20=Наименование!$L40,OR($F20=4,$F20=6,$F20=8,$F20=10,$F20=16)),$AI20*Прайс!$D$91,IF(AND($S20=1,OR($H20=1,$H20=0),$X20=Наименование!$L$15,OR($F20=4,$F20=6,$F20=8,$F20=10,$F20=16)),$AI20*Прайс!$D$92,0))))+IF(AND($S20=1,$H20=2,$X20=Наименование!$L$12,OR($F20=4,$F20=6,$F20=8,$F20=10,$F20=16)),$AI20*Прайс!$E$89,IF(AND($S20=1,$H20=2,$X20=Наименование!$L$13,OR($F20=4,$F20=6,$F20=8,$F20=10,$F20=16)),$AI20*Прайс!$E$90,IF(AND($S20=1,$H20=2,$X20=Наименование!$L$14,OR($F20=4,$F20=6,$F20=8,$F20=10,$F20=16)),$AI20*Прайс!$E$91,IF(AND($S20=1,$H20=2,$X20=Наименование!$L$15,OR($F20=4,$F20=6,$F20=8,$F20=10,$F20=16)),$AI20*Прайс!$E$92))))</f>
        <v>0</v>
      </c>
      <c r="AA20" s="195">
        <f>IF($G20="Гладкий",IF(OR($C20=0,$C20=""),0,IF(AND(OR($V20="Перли",$V20="Металік",$V20="Перл.зол.",$V20="Перл.ср.",$V20="Перл.зол.",$V20="Зор.н.ср.",$V20="Зор.н.зол.",$V20="Зор.н.різн.",$V20="Гума"),$F20=19),$AI20*Прайс!$E$12,IF(AND(OR($V20="",$V20=0),$X20="Матове",$F20=19),$AI20*Прайс!$E$10,IF(AND(OR($V20="",$V20=0),$X20="Глянець",$F20=19),$AI20*Прайс!$E$11,IF(AND(OR($V20="",$V20=0),$X20="Софт(TS)",$F20=19),$AI20*Прайс!#REF!,0))))),0)+IF($G20="Гладкий",0,IF(AND(OR($V20="Перли",$V20="Металік",$V20="Перл.зол.",$V20="Перл.ср.",$V20="Перл.зол.",$V20="Зор.н.ср.",$V20="Зор.н.зол.",$V20="Зор.н.різн.",$V20="Гума"),$F20=19,$H20=1),Просчет!$AI20*Прайс!$F$76,IF(AND(OR($V20="",$V20=0),$X20="Матове",$F20=19,$H20=1),Просчет!$AI20*Прайс!$F$73,IF(AND(OR($V20="",$V20=0),$X20="Глянець",$F20=19,$H20=1),Просчет!$AI20*Прайс!$F$75,IF(AND(OR($V20="",$V20=0),$G20="Софт(TS)",$F20=19,$H20=1),$AI20*Прайс!$F$74,IF(AND(OR($V20="",$V20=0),$X20="Матове покриття з патиною",$F20=19,$H20=1),$AI20*Прайс!$F$77,IF(AND(OR($V20="",$V20=0),$X20="Глянцеве покриття з патиною",$F20=19,$H20=1),$AI20*Прайс!$F$78,IF(AND(OR($V20="",$V20=0),$X20="Матовий DECAPE",$F20=19,$H20=1),$AI20*Прайс!$F$79,IF(AND(OR($V20="",$V20=0),$X20="Глянцевий DECAPE",$F20=19,$H20=1),$AI20*Прайс!$F$80,0)))))))))+IF($G20="Гладкий",0,IF(AND(OR($V20="Перли",$V20="Металік",$V20="Перл.зол.",$V20="Перл.ср.",$V20="Перл.зол.",$V20="Зор.н.ср.",$V20="Зор.н.зол.",$V20="Зор.н.різн.",$V20="Гума"),$F20=19,$H20=2),$AI20*Прайс!$G$76,IF(AND(OR($V20="",$V20=0),$X20="Матове",$F20=19,$H20=2),Просчет!$AI20*Прайс!$G$73,IF(AND(OR($V20="",$V20=0),$X20="Глянець",$F20=19,$H20=2),$AI20*Прайс!$G$75,IF(AND(OR($V20="",$V20=0),$X20="Софт(TS)",$F20=19,$H20=2),$AI20*Прайс!$G$74,IF(AND(OR($V20="",$V20=0),$X20="Матове покриття з патиною",$F20=19,$H20=2),$AI20*Прайс!$G$77,IF(AND(OR($V20="",$V20=0),$X20="Глянцеве покриття з патиною",$F20=19,$H20=2),$AI20*Прайс!$G$78,IF(AND(OR($V20="",$V20=0),$X20="Матовий DECAPE",$F20=19,$H20=2),$AI20*Прайс!$G$79,IF(AND(OR($V20="",$V20=0),$X20="Глянцевий DECAPE",$F20=19,$H20=2),$AI20*Прайс!$G$78,0)))))))))+IF(AND($S20=1,OR($H20=1,$H20=0),$X20=Наименование!$L$12,$F20=19),$AI20*Прайс!$F$89,IF(AND($S20=1,OR($H20=1,$H20=0),$X20=Наименование!$L$13,$F20=19),$AI20*Прайс!$F$90,IF(AND($S20=1,OR($H20=1,$H20=0),$X20=Наименование!$L40,$F20=19),$AI20*Прайс!$F$91,IF(AND($S20=1,OR($H20=1,$H20=0),$X20=Наименование!$L$15,$F20=19),$AI20*Прайс!$F$92,0))))+IF(AND($S20=1,$H20=2,$X20=Наименование!$L$12,$F20=19),$AI20*Прайс!$G$89,IF(AND($S20=1,$H20=2,$X20=Наименование!$L$13,$F20=19),$AI20*Прайс!$G$90,IF(AND($S20=1,$H20=2,$X20=Наименование!$L$14,$F20=19),$AI20*Прайс!$G$91,IF(AND($S20=1,$H20=2,$X20=Наименование!$L$15,$F20=19),$AI20*Прайс!$G$92))))</f>
        <v>0</v>
      </c>
      <c r="AB20" s="195">
        <f>IF($G20="Гладкий",IF(OR($C20=0,$C20=""),0,IF($Y20="Матове",$AI20*(Прайс!$D$10-500),IF($Y20="Глянець",$AI20*(Прайс!$D$11-500),IF($Y20="Софт(TS)",$AI20*(Прайс!#REF!-500),0)))),0)+IF($G20="Гладкий",0,IF(AND($Y20="Матове",$H20=1),$AI20*Прайс!$D$73*0.5,IF(AND($Y20="Глянець",$H20=1),$AI20*Прайс!$D$75*0.5,IF(AND($Y20="Софт(TS)",$H20=1),$AI20*Прайс!$D$74*0.5,IF(AND($Y20="Матове покриття з патиною",$H20=1),$AI20*Прайс!$D$77*0.5,IF(AND($Y20="Глянцеве покриття з патиною",$H20=1),$AI20*Прайс!$D$78*0.5,IF(AND($Y20="Матовий DECAPE",$H20=1),$AI20*Прайс!$D$79*0.5,IF(AND($Y20="Глянцевий DECAPE",$H20=1),$AI20*Прайс!$D$80*0.5,0))))))))+IF($G20="Гладкий",0,IF(AND($Y20="Матове",$H20=2),$AI20*Прайс!$E$73*0.5,IF(AND($Y20="Глянець",$H20=2),$AI20*Прайс!$E$75*0.5,IF(AND($Y20="Софт(TS)",$H20=2),$AI20*Прайс!$E$74*0.5,IF(AND($Y20="Матове покриття з патиною",$H20=2),$AI20*Прайс!$E$77*0.5,IF(AND($Y20="Глянцеве покриття з патиною",$H20=2),$AI20*Прайс!$E$78*0.5,IF(AND($Y20="Матовий DECAPE",$H20=2),$AI20*Прайс!$E$79*0.5,IF(AND($Y20="Глянцевий DECAPE",$H20=2),$AI20*Прайс!$E$80*0.5,0)))))))+IF(AND($S20=1,OR($H20=1,$H20=0),$Y20=Прайс!$C$89),$AI20*[1]Прайс!$D$74*0.5,IF(AND($S20=1,OR($H20=1,$H20=0),$Y20=Прайс!$C$90),$AI20*Прайс!$D$90*0.5,IF(AND($S20=1,OR($H20=1,$H20=0),$Y20=Прайс!$C$91),$AI20*Прайс!$D$91*0.5,IF(AND($S20=1,OR($H20=1,$H20=0),$Y20=Прайс!$C$92),$AI20*Прайс!$D$92*0.5,0))))+IF(AND($S20=1,$H20=2,$Y20=Прайс!$C$89),$AI20*Прайс!$E$89*0.5,IF(AND($S20=1,$H20=2,$Y20=Прайс!$C$90),$AI20*Прайс!$E$90*0.5,IF(AND($S20=1,$H20=2,$Y20=Прайс!$C$91),$AI20*Прайс!$E$91*0.5,IF(AND($S20=1,$H20=2,$Y20=Прайс!$C$92),$AI20*Прайс!$E$92*0.5,0)))))</f>
        <v>0</v>
      </c>
      <c r="AC20" s="197" t="str">
        <f>IF(Бланк!AD37="","",Бланк!AD37*E20)</f>
        <v/>
      </c>
      <c r="AD20" s="195">
        <f>IF(OR($AC20=0,$AC20=""),0,$AC20*Прайс!$D$111)</f>
        <v>0</v>
      </c>
      <c r="AE20" s="197" t="str">
        <f>IF(Бланк!AE37="","",Бланк!AE37)</f>
        <v/>
      </c>
      <c r="AF20" s="197" t="str">
        <f>IF(Бланк!AF37="","",Бланк!AF37)</f>
        <v/>
      </c>
      <c r="AG20" s="197" t="str">
        <f>IF(Бланк!AG37="","",Бланк!AG37)</f>
        <v/>
      </c>
      <c r="AH20" s="197" t="str">
        <f>IF(Бланк!AH37="","",Бланк!AH37)</f>
        <v/>
      </c>
      <c r="AI20" s="139">
        <f>IF(Бланк!$AI37="","",Бланк!$AI37)</f>
        <v>0</v>
      </c>
      <c r="AJ20" s="198"/>
      <c r="AK20" s="198"/>
      <c r="AL20" s="198"/>
      <c r="AM20" s="199"/>
      <c r="AN20" s="199"/>
      <c r="AO20" s="199"/>
      <c r="AP20" s="199"/>
      <c r="AQ20" s="200"/>
      <c r="AR20" s="190"/>
    </row>
    <row r="21" spans="2:44" s="202" customFormat="1" ht="21" customHeight="1" x14ac:dyDescent="0.3">
      <c r="B21" s="201">
        <v>18</v>
      </c>
      <c r="C21" s="192" t="str">
        <f>IF(Бланк!$C38="","",Бланк!$C38/1000)</f>
        <v/>
      </c>
      <c r="D21" s="192" t="str">
        <f>IF(Бланк!$D38="","",Бланк!$D38/1000)</f>
        <v/>
      </c>
      <c r="E21" s="192" t="str">
        <f>IF(Бланк!$E38="","",Бланк!$E38)</f>
        <v/>
      </c>
      <c r="F21" s="192" t="str">
        <f>IF(Бланк!$F38="","",Бланк!$F38)</f>
        <v/>
      </c>
      <c r="G21" s="192" t="str">
        <f>IF(Бланк!$G38="","",Бланк!$G38)</f>
        <v/>
      </c>
      <c r="H21" s="193" t="str">
        <f>IF($G21="","",VLOOKUP($G21,Наименование!$M$42:$N$95,2,FALSE))</f>
        <v/>
      </c>
      <c r="I21" s="192" t="str">
        <f>IF(Бланк!$H38="","",Бланк!$H38)</f>
        <v/>
      </c>
      <c r="J21" s="192" t="str">
        <f>IF(Бланк!$I38="","",Бланк!$I38)</f>
        <v/>
      </c>
      <c r="K21" s="194" t="str">
        <f>IF(OR($J21="",$J21=0),"",IF($J21="Пряма з чвертю",(Прайс!$D$106+Прайс!$D$109)*Просчет!$E21,IF($J21="Пряма без чверті",Прайс!$D$106*Просчет!$E21,IF(AND($J21="Шпрос з чвертю",OR($C21&lt;1,$C21=1)),(Прайс!$D$37+Прайс!$D$40)*Просчет!$E21,IF(AND($J21="Шпрос з чвертю",$C21&gt;1),(Прайс!$F$37+Прайс!$D$40)*Просчет!$E21,IF(AND($J21="Шпрос без чверті",OR($C21&lt;1,$C21=1)),Прайс!$D$37*Просчет!$E21,IF(AND($J21="Шпрос без чверті",$C21&gt;1),Прайс!$F$37*Просчет!$E21,"")))))))</f>
        <v/>
      </c>
      <c r="L21" s="192" t="str">
        <f>IF(Бланк!$J38="","",Бланк!$J38/1000)</f>
        <v/>
      </c>
      <c r="M21" s="192" t="str">
        <f>IF(Бланк!$K38="","",Бланк!$K38)</f>
        <v/>
      </c>
      <c r="N21" s="195">
        <f t="shared" si="0"/>
        <v>0</v>
      </c>
      <c r="O21" s="194">
        <f>IF($G21="гладкий",IF($M21="","",IF(OR($M21="J № 1",$M21="J № 2",$M21="J № 2L",$M21="J № 2R",$M21="AJ № 2",$M21="AJ № 2L",$M21="AJ № 2R",$M21="U",$M21="V"),$N21*Прайс!$D$43,IF(OR($M21="AJ № 3R",$M21="AJ № 4R",$M21="AJ № 5R",$M21="AJ № 3L",$M21="AJ № 4L",$M21="AJ № 5L",$M21="AJ № 3",$M21="AJ № 4",$M21="AJ № 5",$M21="J № 3",$M21="J № 4",$M21="J № 5",$M21="J № 6",$M21="J № 7",$M21="L",$M21="AL"),Прайс!$D$43*$E21,IF(OR($M21="J № 3L",$M21="J № 3R",$M21="J № 4L",$M21="J № 4R",$M21="J № 5L",$M21="J № 5R"),$N21/2*Прайс!$D$47*$E21,IF($M21="45 град.",$N21*Прайс!$D$42,0))))),0)</f>
        <v>0</v>
      </c>
      <c r="P21" s="192" t="str">
        <f>IF(Бланк!$L38="","",Бланк!$L38)</f>
        <v/>
      </c>
      <c r="Q21" s="192" t="str">
        <f>IF(Бланк!$M38="","",Бланк!$M38)</f>
        <v/>
      </c>
      <c r="R21" s="194">
        <f>IF($P21="",0,IF($Q21=$U21,0,IF($Q21="",0,IF(OR($G21=35,$G21=36,$G21=37,$G21=38),Прайс!$D$118*Бланк!E38,IF(AND($G21="гладкий",OR($M21="J № 1",$M21="J № 2",$M21="J № 2L",$M21="J № 2R")),$N21*Прайс!$D$59,0)))))</f>
        <v>0</v>
      </c>
      <c r="S21" s="192" t="str">
        <f>IF(OR(Бланк!$O38=0,Бланк!$O38=""),"",1)</f>
        <v/>
      </c>
      <c r="T21" s="192" t="str">
        <f>IF(Бланк!$R38="","",Бланк!$R38)</f>
        <v/>
      </c>
      <c r="U21" s="192" t="str">
        <f>IF(Бланк!$S38="","",Бланк!$S38)</f>
        <v/>
      </c>
      <c r="V21" s="192" t="str">
        <f>IF(Бланк!$T38="","",Бланк!$T38)</f>
        <v/>
      </c>
      <c r="W21" s="196" t="str">
        <f>IF(Бланк!$W38="","",Бланк!$W38)</f>
        <v/>
      </c>
      <c r="X21" s="197" t="str">
        <f>IF(Бланк!AB38="","",Бланк!AB38)</f>
        <v/>
      </c>
      <c r="Y21" s="197" t="str">
        <f>IF(Бланк!AC38="","",Бланк!AC38)</f>
        <v/>
      </c>
      <c r="Z21" s="195">
        <f>IF($G21="Гладкий",IF(OR($C21=0,$C21=""),0,IF(AND(OR($V21="Перли",$V21="Металік",$V21="Перл.зол.",$V21="Перл.ср.",$V21="Перл.зол.",$V21="Зор.н.ср.",$V21="Зор.н.зол.",$V21="Зор.н.різн.",$V21="Гума"),OR($F21=4,$F21=6,$F21=8,$F21=10,$F21=16)),$AI21*Прайс!$D$12,IF(AND(OR($V21="",$V21=0),$X21="Матове",OR($F21=4,$F21=6,$F21=8,$F21=10,$F21=16)),$AI21*Прайс!$D$10,IF(AND(OR($V21="",$V21=0),$X21="Глянець",OR($F21=4,$F21=6,$F21=8,$F21=10,$F21=16)),$AI21*Прайс!$D$11,IF(AND(OR($V21="",$V21=0),$X21="Софт(TS)",OR($F21=4,$F21=6,$F21=8,$F21=10,$F21=16)),$AI21*Прайс!#REF!,0))))),0)+IF($G21="Гладкий",0,IF(AND(OR($V21="Перли",$V21="Металік",$V21="Перл.зол.",$V21="Перл.ср.",$V21="Перл.зол.",$V21="Зор.н.ср.",$V21="Зор.н.зол.",$V21="Зор.н.різн.",$V21="Гума"),OR($F21=4,$F21=6,$F21=8,$F21=10,$F21=16),$H21=1),Просчет!$AI21*Прайс!$D$76,IF(AND(OR($V21="",$V21=0),$X21="Матове",OR($F21=4,$F21=6,$F21=8,$F21=10,$F21=16),$H21=1),Просчет!$AI21*Прайс!$D$73,IF(AND(OR($V21="",$V21=0),$X21="Глянець",OR($F21=4,$F21=6,$F21=8,$F21=10,$F21=16),$H21=1),Просчет!$AI21*Прайс!$D$75,IF(AND(OR($V21="",$V21=0),$G21="Софт(TS)",OR($F21=4,$F21=6,$F21=8,$F21=10,$F21=16),$H21=1),$AI21*Прайс!$D$74,IF(AND(OR($V21="",$V21=0),$X21="Матове покриття з патиною",OR($F21=4,$F21=6,$F21=8,$F21=10,$F21=16),$H21=1),$AI21*Прайс!$D$77,IF(AND(OR($V21="",$V21=0),$X21="Глянцеве покриття з патиною",OR($F21=4,$F21=6,$F21=8,$F21=10,$F21=16),$H21=1),$AI21*Прайс!$D$78,IF(AND(OR($V21="",$V21=0),$X21="Матовий DECAPE",OR($F21=4,$F21=6,$F21=8,$F21=10,$F21=16),$H21=1),$AI21*Прайс!$D$79,IF(AND(OR($V21="",$V21=0),$X21="Глянцевий DECAPE",OR($F21=4,$F21=6,$F21=8,$F21=10,$F21=16),$H21=1),$AI21*Прайс!$D$80,0)))))))))+IF($G21="Гладкий",0,IF(AND(OR($V21="Перли",$V21="Металік",$V21="Перл.зол.",$V21="Перл.ср.",$V21="Перл.зол.",$V21="Зор.н.ср.",$V21="Зор.н.зол.",$V21="Зор.н.різн.",$V21="Гума"),OR($F21=4,$F21=6,$F21=8,$F21=10,$F21=16),$H21=2),$AI21*Прайс!$E$76,IF(AND(OR($V21="",$V21=0),$X21="Матове",OR($F21=4,$F21=6,$F21=8,$F21=10,$F21=16),$H21=2),Просчет!$AI21*Прайс!$E$73,IF(AND(OR($V21="",$V21=0),$X21="Глянець",OR($F21=4,$F21=6,$F21=8,$F21=10,$F21=16),$H21=2),$AI21*Прайс!$E$75,IF(AND(OR($V21="",$V21=0),$X21="Софт(TS)",OR($F21=4,$F21=6,$F21=8,$F21=10,$F21=16),$H21=2),$AI21*Прайс!$E$74,IF(AND(OR($V21="",$V21=0),$X21="Матове покриття з патиною",OR($F21=4,$F21=6,$F21=8,$F21=10,$F21=16),$H21=2),$AI21*Прайс!$E$77,IF(AND(OR($V21="",$V21=0),$X21="Глянцеве покриття з патиною",OR($F21=4,$F21=6,$F21=8,$F21=10,$F21=16),$H21=2),$AI21*Прайс!$E$78,IF(AND(OR($V21="",$V21=0),$X21="Матовий DECAPE",OR($F21=4,$F21=6,$F21=8,$F21=10,$F21=16),$H21=2),$AI21*Прайс!$E$79,IF(AND(OR($V21="",$V21=0),$X21="Глянцевий DECAPE",OR($F21=4,$F21=6,$F21=8,$F21=10,$F21=16),$H21=2),$AI21*Прайс!$E$80,0)))))))))+IF(AND($S21=1,OR($H21=1,$H21=0),$X21=Наименование!$L$12,OR($F21=4,$F21=6,$F21=8,$F21=10,$F21=16)),$AI21*Прайс!$D$89,IF(AND($S21=1,OR($H21=1,$H21=0),$X21=Наименование!$L$13,OR($F21=4,$F21=6,$F21=8,$F21=10,$F21=16)),$AI21*Прайс!$D$90,IF(AND($S21=1,OR($H21=1,$H21=0),$X21=Наименование!$L41,OR($F21=4,$F21=6,$F21=8,$F21=10,$F21=16)),$AI21*Прайс!$D$91,IF(AND($S21=1,OR($H21=1,$H21=0),$X21=Наименование!$L$15,OR($F21=4,$F21=6,$F21=8,$F21=10,$F21=16)),$AI21*Прайс!$D$92,0))))+IF(AND($S21=1,$H21=2,$X21=Наименование!$L$12,OR($F21=4,$F21=6,$F21=8,$F21=10,$F21=16)),$AI21*Прайс!$E$89,IF(AND($S21=1,$H21=2,$X21=Наименование!$L$13,OR($F21=4,$F21=6,$F21=8,$F21=10,$F21=16)),$AI21*Прайс!$E$90,IF(AND($S21=1,$H21=2,$X21=Наименование!$L$14,OR($F21=4,$F21=6,$F21=8,$F21=10,$F21=16)),$AI21*Прайс!$E$91,IF(AND($S21=1,$H21=2,$X21=Наименование!$L$15,OR($F21=4,$F21=6,$F21=8,$F21=10,$F21=16)),$AI21*Прайс!$E$92))))</f>
        <v>0</v>
      </c>
      <c r="AA21" s="195">
        <f>IF($G21="Гладкий",IF(OR($C21=0,$C21=""),0,IF(AND(OR($V21="Перли",$V21="Металік",$V21="Перл.зол.",$V21="Перл.ср.",$V21="Перл.зол.",$V21="Зор.н.ср.",$V21="Зор.н.зол.",$V21="Зор.н.різн.",$V21="Гума"),$F21=19),$AI21*Прайс!$E$12,IF(AND(OR($V21="",$V21=0),$X21="Матове",$F21=19),$AI21*Прайс!$E$10,IF(AND(OR($V21="",$V21=0),$X21="Глянець",$F21=19),$AI21*Прайс!$E$11,IF(AND(OR($V21="",$V21=0),$X21="Софт(TS)",$F21=19),$AI21*Прайс!#REF!,0))))),0)+IF($G21="Гладкий",0,IF(AND(OR($V21="Перли",$V21="Металік",$V21="Перл.зол.",$V21="Перл.ср.",$V21="Перл.зол.",$V21="Зор.н.ср.",$V21="Зор.н.зол.",$V21="Зор.н.різн.",$V21="Гума"),$F21=19,$H21=1),Просчет!$AI21*Прайс!$F$76,IF(AND(OR($V21="",$V21=0),$X21="Матове",$F21=19,$H21=1),Просчет!$AI21*Прайс!$F$73,IF(AND(OR($V21="",$V21=0),$X21="Глянець",$F21=19,$H21=1),Просчет!$AI21*Прайс!$F$75,IF(AND(OR($V21="",$V21=0),$G21="Софт(TS)",$F21=19,$H21=1),$AI21*Прайс!$F$74,IF(AND(OR($V21="",$V21=0),$X21="Матове покриття з патиною",$F21=19,$H21=1),$AI21*Прайс!$F$77,IF(AND(OR($V21="",$V21=0),$X21="Глянцеве покриття з патиною",$F21=19,$H21=1),$AI21*Прайс!$F$78,IF(AND(OR($V21="",$V21=0),$X21="Матовий DECAPE",$F21=19,$H21=1),$AI21*Прайс!$F$79,IF(AND(OR($V21="",$V21=0),$X21="Глянцевий DECAPE",$F21=19,$H21=1),$AI21*Прайс!$F$80,0)))))))))+IF($G21="Гладкий",0,IF(AND(OR($V21="Перли",$V21="Металік",$V21="Перл.зол.",$V21="Перл.ср.",$V21="Перл.зол.",$V21="Зор.н.ср.",$V21="Зор.н.зол.",$V21="Зор.н.різн.",$V21="Гума"),$F21=19,$H21=2),$AI21*Прайс!$G$76,IF(AND(OR($V21="",$V21=0),$X21="Матове",$F21=19,$H21=2),Просчет!$AI21*Прайс!$G$73,IF(AND(OR($V21="",$V21=0),$X21="Глянець",$F21=19,$H21=2),$AI21*Прайс!$G$75,IF(AND(OR($V21="",$V21=0),$X21="Софт(TS)",$F21=19,$H21=2),$AI21*Прайс!$G$74,IF(AND(OR($V21="",$V21=0),$X21="Матове покриття з патиною",$F21=19,$H21=2),$AI21*Прайс!$G$77,IF(AND(OR($V21="",$V21=0),$X21="Глянцеве покриття з патиною",$F21=19,$H21=2),$AI21*Прайс!$G$78,IF(AND(OR($V21="",$V21=0),$X21="Матовий DECAPE",$F21=19,$H21=2),$AI21*Прайс!$G$79,IF(AND(OR($V21="",$V21=0),$X21="Глянцевий DECAPE",$F21=19,$H21=2),$AI21*Прайс!$G$78,0)))))))))+IF(AND($S21=1,OR($H21=1,$H21=0),$X21=Наименование!$L$12,$F21=19),$AI21*Прайс!$F$89,IF(AND($S21=1,OR($H21=1,$H21=0),$X21=Наименование!$L$13,$F21=19),$AI21*Прайс!$F$90,IF(AND($S21=1,OR($H21=1,$H21=0),$X21=Наименование!$L41,$F21=19),$AI21*Прайс!$F$91,IF(AND($S21=1,OR($H21=1,$H21=0),$X21=Наименование!$L$15,$F21=19),$AI21*Прайс!$F$92,0))))+IF(AND($S21=1,$H21=2,$X21=Наименование!$L$12,$F21=19),$AI21*Прайс!$G$89,IF(AND($S21=1,$H21=2,$X21=Наименование!$L$13,$F21=19),$AI21*Прайс!$G$90,IF(AND($S21=1,$H21=2,$X21=Наименование!$L$14,$F21=19),$AI21*Прайс!$G$91,IF(AND($S21=1,$H21=2,$X21=Наименование!$L$15,$F21=19),$AI21*Прайс!$G$92))))</f>
        <v>0</v>
      </c>
      <c r="AB21" s="195">
        <f>IF($G21="Гладкий",IF(OR($C21=0,$C21=""),0,IF($Y21="Матове",$AI21*(Прайс!$D$10-500),IF($Y21="Глянець",$AI21*(Прайс!$D$11-500),IF($Y21="Софт(TS)",$AI21*(Прайс!#REF!-500),0)))),0)+IF($G21="Гладкий",0,IF(AND($Y21="Матове",$H21=1),$AI21*Прайс!$D$73*0.5,IF(AND($Y21="Глянець",$H21=1),$AI21*Прайс!$D$75*0.5,IF(AND($Y21="Софт(TS)",$H21=1),$AI21*Прайс!$D$74*0.5,IF(AND($Y21="Матове покриття з патиною",$H21=1),$AI21*Прайс!$D$77*0.5,IF(AND($Y21="Глянцеве покриття з патиною",$H21=1),$AI21*Прайс!$D$78*0.5,IF(AND($Y21="Матовий DECAPE",$H21=1),$AI21*Прайс!$D$79*0.5,IF(AND($Y21="Глянцевий DECAPE",$H21=1),$AI21*Прайс!$D$80*0.5,0))))))))+IF($G21="Гладкий",0,IF(AND($Y21="Матове",$H21=2),$AI21*Прайс!$E$73*0.5,IF(AND($Y21="Глянець",$H21=2),$AI21*Прайс!$E$75*0.5,IF(AND($Y21="Софт(TS)",$H21=2),$AI21*Прайс!$E$74*0.5,IF(AND($Y21="Матове покриття з патиною",$H21=2),$AI21*Прайс!$E$77*0.5,IF(AND($Y21="Глянцеве покриття з патиною",$H21=2),$AI21*Прайс!$E$78*0.5,IF(AND($Y21="Матовий DECAPE",$H21=2),$AI21*Прайс!$E$79*0.5,IF(AND($Y21="Глянцевий DECAPE",$H21=2),$AI21*Прайс!$E$80*0.5,0)))))))+IF(AND($S21=1,OR($H21=1,$H21=0),$Y21=Прайс!$C$89),$AI21*[1]Прайс!$D$74*0.5,IF(AND($S21=1,OR($H21=1,$H21=0),$Y21=Прайс!$C$90),$AI21*Прайс!$D$90*0.5,IF(AND($S21=1,OR($H21=1,$H21=0),$Y21=Прайс!$C$91),$AI21*Прайс!$D$91*0.5,IF(AND($S21=1,OR($H21=1,$H21=0),$Y21=Прайс!$C$92),$AI21*Прайс!$D$92*0.5,0))))+IF(AND($S21=1,$H21=2,$Y21=Прайс!$C$89),$AI21*Прайс!$E$89*0.5,IF(AND($S21=1,$H21=2,$Y21=Прайс!$C$90),$AI21*Прайс!$E$90*0.5,IF(AND($S21=1,$H21=2,$Y21=Прайс!$C$91),$AI21*Прайс!$E$91*0.5,IF(AND($S21=1,$H21=2,$Y21=Прайс!$C$92),$AI21*Прайс!$E$92*0.5,0)))))</f>
        <v>0</v>
      </c>
      <c r="AC21" s="197" t="str">
        <f>IF(Бланк!AD38="","",Бланк!AD38*E21)</f>
        <v/>
      </c>
      <c r="AD21" s="195">
        <f>IF(OR($AC21=0,$AC21=""),0,$AC21*Прайс!$D$111)</f>
        <v>0</v>
      </c>
      <c r="AE21" s="197" t="str">
        <f>IF(Бланк!AE38="","",Бланк!AE38)</f>
        <v/>
      </c>
      <c r="AF21" s="197" t="str">
        <f>IF(Бланк!AF38="","",Бланк!AF38)</f>
        <v/>
      </c>
      <c r="AG21" s="197" t="str">
        <f>IF(Бланк!AG38="","",Бланк!AG38)</f>
        <v/>
      </c>
      <c r="AH21" s="197" t="str">
        <f>IF(Бланк!AH38="","",Бланк!AH38)</f>
        <v/>
      </c>
      <c r="AI21" s="139">
        <f>IF(Бланк!$AI38="","",Бланк!$AI38)</f>
        <v>0</v>
      </c>
      <c r="AJ21" s="198"/>
      <c r="AK21" s="198"/>
      <c r="AL21" s="198"/>
      <c r="AM21" s="199"/>
      <c r="AN21" s="199"/>
      <c r="AO21" s="199"/>
      <c r="AP21" s="199"/>
      <c r="AQ21" s="200"/>
      <c r="AR21" s="190"/>
    </row>
    <row r="22" spans="2:44" s="202" customFormat="1" ht="21" customHeight="1" x14ac:dyDescent="0.3">
      <c r="B22" s="201">
        <v>19</v>
      </c>
      <c r="C22" s="192" t="str">
        <f>IF(Бланк!$C39="","",Бланк!$C39/1000)</f>
        <v/>
      </c>
      <c r="D22" s="192" t="str">
        <f>IF(Бланк!$D39="","",Бланк!$D39/1000)</f>
        <v/>
      </c>
      <c r="E22" s="192" t="str">
        <f>IF(Бланк!$E39="","",Бланк!$E39)</f>
        <v/>
      </c>
      <c r="F22" s="192" t="str">
        <f>IF(Бланк!$F39="","",Бланк!$F39)</f>
        <v/>
      </c>
      <c r="G22" s="192" t="str">
        <f>IF(Бланк!$G39="","",Бланк!$G39)</f>
        <v/>
      </c>
      <c r="H22" s="193" t="str">
        <f>IF($G22="","",VLOOKUP($G22,Наименование!$M$42:$N$95,2,FALSE))</f>
        <v/>
      </c>
      <c r="I22" s="192" t="str">
        <f>IF(Бланк!$H39="","",Бланк!$H39)</f>
        <v/>
      </c>
      <c r="J22" s="192" t="str">
        <f>IF(Бланк!$I39="","",Бланк!$I39)</f>
        <v/>
      </c>
      <c r="K22" s="194" t="str">
        <f>IF(OR($J22="",$J22=0),"",IF($J22="Пряма з чвертю",(Прайс!$D$106+Прайс!$D$109)*Просчет!$E22,IF($J22="Пряма без чверті",Прайс!$D$106*Просчет!$E22,IF(AND($J22="Шпрос з чвертю",OR($C22&lt;1,$C22=1)),(Прайс!$D$37+Прайс!$D$40)*Просчет!$E22,IF(AND($J22="Шпрос з чвертю",$C22&gt;1),(Прайс!$F$37+Прайс!$D$40)*Просчет!$E22,IF(AND($J22="Шпрос без чверті",OR($C22&lt;1,$C22=1)),Прайс!$D$37*Просчет!$E22,IF(AND($J22="Шпрос без чверті",$C22&gt;1),Прайс!$F$37*Просчет!$E22,"")))))))</f>
        <v/>
      </c>
      <c r="L22" s="192" t="str">
        <f>IF(Бланк!$J39="","",Бланк!$J39/1000)</f>
        <v/>
      </c>
      <c r="M22" s="192" t="str">
        <f>IF(Бланк!$K39="","",Бланк!$K39)</f>
        <v/>
      </c>
      <c r="N22" s="195">
        <f t="shared" si="0"/>
        <v>0</v>
      </c>
      <c r="O22" s="194">
        <f>IF($G22="гладкий",IF($M22="","",IF(OR($M22="J № 1",$M22="J № 2",$M22="J № 2L",$M22="J № 2R",$M22="AJ № 2",$M22="AJ № 2L",$M22="AJ № 2R",$M22="U",$M22="V"),$N22*Прайс!$D$43,IF(OR($M22="AJ № 3R",$M22="AJ № 4R",$M22="AJ № 5R",$M22="AJ № 3L",$M22="AJ № 4L",$M22="AJ № 5L",$M22="AJ № 3",$M22="AJ № 4",$M22="AJ № 5",$M22="J № 3",$M22="J № 4",$M22="J № 5",$M22="J № 6",$M22="J № 7",$M22="L",$M22="AL"),Прайс!$D$43*$E22,IF(OR($M22="J № 3L",$M22="J № 3R",$M22="J № 4L",$M22="J № 4R",$M22="J № 5L",$M22="J № 5R"),$N22/2*Прайс!$D$47*$E22,IF($M22="45 град.",$N22*Прайс!$D$42,0))))),0)</f>
        <v>0</v>
      </c>
      <c r="P22" s="192" t="str">
        <f>IF(Бланк!$L39="","",Бланк!$L39)</f>
        <v/>
      </c>
      <c r="Q22" s="192" t="str">
        <f>IF(Бланк!$M39="","",Бланк!$M39)</f>
        <v/>
      </c>
      <c r="R22" s="194">
        <f>IF($P22="",0,IF($Q22=$U22,0,IF($Q22="",0,IF(OR($G22=35,$G22=36,$G22=37,$G22=38),Прайс!$D$118*Бланк!E39,IF(AND($G22="гладкий",OR($M22="J № 1",$M22="J № 2",$M22="J № 2L",$M22="J № 2R")),$N22*Прайс!$D$59,0)))))</f>
        <v>0</v>
      </c>
      <c r="S22" s="192" t="str">
        <f>IF(OR(Бланк!$O39=0,Бланк!$O39=""),"",1)</f>
        <v/>
      </c>
      <c r="T22" s="192" t="str">
        <f>IF(Бланк!$R39="","",Бланк!$R39)</f>
        <v/>
      </c>
      <c r="U22" s="192" t="str">
        <f>IF(Бланк!$S39="","",Бланк!$S39)</f>
        <v/>
      </c>
      <c r="V22" s="192" t="str">
        <f>IF(Бланк!$T39="","",Бланк!$T39)</f>
        <v/>
      </c>
      <c r="W22" s="196" t="str">
        <f>IF(Бланк!$W39="","",Бланк!$W39)</f>
        <v/>
      </c>
      <c r="X22" s="197" t="str">
        <f>IF(Бланк!AB39="","",Бланк!AB39)</f>
        <v/>
      </c>
      <c r="Y22" s="197" t="str">
        <f>IF(Бланк!AC39="","",Бланк!AC39)</f>
        <v/>
      </c>
      <c r="Z22" s="195">
        <f>IF($G22="Гладкий",IF(OR($C22=0,$C22=""),0,IF(AND(OR($V22="Перли",$V22="Металік",$V22="Перл.зол.",$V22="Перл.ср.",$V22="Перл.зол.",$V22="Зор.н.ср.",$V22="Зор.н.зол.",$V22="Зор.н.різн.",$V22="Гума"),OR($F22=4,$F22=6,$F22=8,$F22=10,$F22=16)),$AI22*Прайс!$D$12,IF(AND(OR($V22="",$V22=0),$X22="Матове",OR($F22=4,$F22=6,$F22=8,$F22=10,$F22=16)),$AI22*Прайс!$D$10,IF(AND(OR($V22="",$V22=0),$X22="Глянець",OR($F22=4,$F22=6,$F22=8,$F22=10,$F22=16)),$AI22*Прайс!$D$11,IF(AND(OR($V22="",$V22=0),$X22="Софт(TS)",OR($F22=4,$F22=6,$F22=8,$F22=10,$F22=16)),$AI22*Прайс!#REF!,0))))),0)+IF($G22="Гладкий",0,IF(AND(OR($V22="Перли",$V22="Металік",$V22="Перл.зол.",$V22="Перл.ср.",$V22="Перл.зол.",$V22="Зор.н.ср.",$V22="Зор.н.зол.",$V22="Зор.н.різн.",$V22="Гума"),OR($F22=4,$F22=6,$F22=8,$F22=10,$F22=16),$H22=1),Просчет!$AI22*Прайс!$D$76,IF(AND(OR($V22="",$V22=0),$X22="Матове",OR($F22=4,$F22=6,$F22=8,$F22=10,$F22=16),$H22=1),Просчет!$AI22*Прайс!$D$73,IF(AND(OR($V22="",$V22=0),$X22="Глянець",OR($F22=4,$F22=6,$F22=8,$F22=10,$F22=16),$H22=1),Просчет!$AI22*Прайс!$D$75,IF(AND(OR($V22="",$V22=0),$G22="Софт(TS)",OR($F22=4,$F22=6,$F22=8,$F22=10,$F22=16),$H22=1),$AI22*Прайс!$D$74,IF(AND(OR($V22="",$V22=0),$X22="Матове покриття з патиною",OR($F22=4,$F22=6,$F22=8,$F22=10,$F22=16),$H22=1),$AI22*Прайс!$D$77,IF(AND(OR($V22="",$V22=0),$X22="Глянцеве покриття з патиною",OR($F22=4,$F22=6,$F22=8,$F22=10,$F22=16),$H22=1),$AI22*Прайс!$D$78,IF(AND(OR($V22="",$V22=0),$X22="Матовий DECAPE",OR($F22=4,$F22=6,$F22=8,$F22=10,$F22=16),$H22=1),$AI22*Прайс!$D$79,IF(AND(OR($V22="",$V22=0),$X22="Глянцевий DECAPE",OR($F22=4,$F22=6,$F22=8,$F22=10,$F22=16),$H22=1),$AI22*Прайс!$D$80,0)))))))))+IF($G22="Гладкий",0,IF(AND(OR($V22="Перли",$V22="Металік",$V22="Перл.зол.",$V22="Перл.ср.",$V22="Перл.зол.",$V22="Зор.н.ср.",$V22="Зор.н.зол.",$V22="Зор.н.різн.",$V22="Гума"),OR($F22=4,$F22=6,$F22=8,$F22=10,$F22=16),$H22=2),$AI22*Прайс!$E$76,IF(AND(OR($V22="",$V22=0),$X22="Матове",OR($F22=4,$F22=6,$F22=8,$F22=10,$F22=16),$H22=2),Просчет!$AI22*Прайс!$E$73,IF(AND(OR($V22="",$V22=0),$X22="Глянець",OR($F22=4,$F22=6,$F22=8,$F22=10,$F22=16),$H22=2),$AI22*Прайс!$E$75,IF(AND(OR($V22="",$V22=0),$X22="Софт(TS)",OR($F22=4,$F22=6,$F22=8,$F22=10,$F22=16),$H22=2),$AI22*Прайс!$E$74,IF(AND(OR($V22="",$V22=0),$X22="Матове покриття з патиною",OR($F22=4,$F22=6,$F22=8,$F22=10,$F22=16),$H22=2),$AI22*Прайс!$E$77,IF(AND(OR($V22="",$V22=0),$X22="Глянцеве покриття з патиною",OR($F22=4,$F22=6,$F22=8,$F22=10,$F22=16),$H22=2),$AI22*Прайс!$E$78,IF(AND(OR($V22="",$V22=0),$X22="Матовий DECAPE",OR($F22=4,$F22=6,$F22=8,$F22=10,$F22=16),$H22=2),$AI22*Прайс!$E$79,IF(AND(OR($V22="",$V22=0),$X22="Глянцевий DECAPE",OR($F22=4,$F22=6,$F22=8,$F22=10,$F22=16),$H22=2),$AI22*Прайс!$E$80,0)))))))))+IF(AND($S22=1,OR($H22=1,$H22=0),$X22=Наименование!$L$12,OR($F22=4,$F22=6,$F22=8,$F22=10,$F22=16)),$AI22*Прайс!$D$89,IF(AND($S22=1,OR($H22=1,$H22=0),$X22=Наименование!$L$13,OR($F22=4,$F22=6,$F22=8,$F22=10,$F22=16)),$AI22*Прайс!$D$90,IF(AND($S22=1,OR($H22=1,$H22=0),$X22=Наименование!$L42,OR($F22=4,$F22=6,$F22=8,$F22=10,$F22=16)),$AI22*Прайс!$D$91,IF(AND($S22=1,OR($H22=1,$H22=0),$X22=Наименование!$L$15,OR($F22=4,$F22=6,$F22=8,$F22=10,$F22=16)),$AI22*Прайс!$D$92,0))))+IF(AND($S22=1,$H22=2,$X22=Наименование!$L$12,OR($F22=4,$F22=6,$F22=8,$F22=10,$F22=16)),$AI22*Прайс!$E$89,IF(AND($S22=1,$H22=2,$X22=Наименование!$L$13,OR($F22=4,$F22=6,$F22=8,$F22=10,$F22=16)),$AI22*Прайс!$E$90,IF(AND($S22=1,$H22=2,$X22=Наименование!$L$14,OR($F22=4,$F22=6,$F22=8,$F22=10,$F22=16)),$AI22*Прайс!$E$91,IF(AND($S22=1,$H22=2,$X22=Наименование!$L$15,OR($F22=4,$F22=6,$F22=8,$F22=10,$F22=16)),$AI22*Прайс!$E$92))))</f>
        <v>0</v>
      </c>
      <c r="AA22" s="195">
        <f>IF($G22="Гладкий",IF(OR($C22=0,$C22=""),0,IF(AND(OR($V22="Перли",$V22="Металік",$V22="Перл.зол.",$V22="Перл.ср.",$V22="Перл.зол.",$V22="Зор.н.ср.",$V22="Зор.н.зол.",$V22="Зор.н.різн.",$V22="Гума"),$F22=19),$AI22*Прайс!$E$12,IF(AND(OR($V22="",$V22=0),$X22="Матове",$F22=19),$AI22*Прайс!$E$10,IF(AND(OR($V22="",$V22=0),$X22="Глянець",$F22=19),$AI22*Прайс!$E$11,IF(AND(OR($V22="",$V22=0),$X22="Софт(TS)",$F22=19),$AI22*Прайс!#REF!,0))))),0)+IF($G22="Гладкий",0,IF(AND(OR($V22="Перли",$V22="Металік",$V22="Перл.зол.",$V22="Перл.ср.",$V22="Перл.зол.",$V22="Зор.н.ср.",$V22="Зор.н.зол.",$V22="Зор.н.різн.",$V22="Гума"),$F22=19,$H22=1),Просчет!$AI22*Прайс!$F$76,IF(AND(OR($V22="",$V22=0),$X22="Матове",$F22=19,$H22=1),Просчет!$AI22*Прайс!$F$73,IF(AND(OR($V22="",$V22=0),$X22="Глянець",$F22=19,$H22=1),Просчет!$AI22*Прайс!$F$75,IF(AND(OR($V22="",$V22=0),$G22="Софт(TS)",$F22=19,$H22=1),$AI22*Прайс!$F$74,IF(AND(OR($V22="",$V22=0),$X22="Матове покриття з патиною",$F22=19,$H22=1),$AI22*Прайс!$F$77,IF(AND(OR($V22="",$V22=0),$X22="Глянцеве покриття з патиною",$F22=19,$H22=1),$AI22*Прайс!$F$78,IF(AND(OR($V22="",$V22=0),$X22="Матовий DECAPE",$F22=19,$H22=1),$AI22*Прайс!$F$79,IF(AND(OR($V22="",$V22=0),$X22="Глянцевий DECAPE",$F22=19,$H22=1),$AI22*Прайс!$F$80,0)))))))))+IF($G22="Гладкий",0,IF(AND(OR($V22="Перли",$V22="Металік",$V22="Перл.зол.",$V22="Перл.ср.",$V22="Перл.зол.",$V22="Зор.н.ср.",$V22="Зор.н.зол.",$V22="Зор.н.різн.",$V22="Гума"),$F22=19,$H22=2),$AI22*Прайс!$G$76,IF(AND(OR($V22="",$V22=0),$X22="Матове",$F22=19,$H22=2),Просчет!$AI22*Прайс!$G$73,IF(AND(OR($V22="",$V22=0),$X22="Глянець",$F22=19,$H22=2),$AI22*Прайс!$G$75,IF(AND(OR($V22="",$V22=0),$X22="Софт(TS)",$F22=19,$H22=2),$AI22*Прайс!$G$74,IF(AND(OR($V22="",$V22=0),$X22="Матове покриття з патиною",$F22=19,$H22=2),$AI22*Прайс!$G$77,IF(AND(OR($V22="",$V22=0),$X22="Глянцеве покриття з патиною",$F22=19,$H22=2),$AI22*Прайс!$G$78,IF(AND(OR($V22="",$V22=0),$X22="Матовий DECAPE",$F22=19,$H22=2),$AI22*Прайс!$G$79,IF(AND(OR($V22="",$V22=0),$X22="Глянцевий DECAPE",$F22=19,$H22=2),$AI22*Прайс!$G$78,0)))))))))+IF(AND($S22=1,OR($H22=1,$H22=0),$X22=Наименование!$L$12,$F22=19),$AI22*Прайс!$F$89,IF(AND($S22=1,OR($H22=1,$H22=0),$X22=Наименование!$L$13,$F22=19),$AI22*Прайс!$F$90,IF(AND($S22=1,OR($H22=1,$H22=0),$X22=Наименование!$L42,$F22=19),$AI22*Прайс!$F$91,IF(AND($S22=1,OR($H22=1,$H22=0),$X22=Наименование!$L$15,$F22=19),$AI22*Прайс!$F$92,0))))+IF(AND($S22=1,$H22=2,$X22=Наименование!$L$12,$F22=19),$AI22*Прайс!$G$89,IF(AND($S22=1,$H22=2,$X22=Наименование!$L$13,$F22=19),$AI22*Прайс!$G$90,IF(AND($S22=1,$H22=2,$X22=Наименование!$L$14,$F22=19),$AI22*Прайс!$G$91,IF(AND($S22=1,$H22=2,$X22=Наименование!$L$15,$F22=19),$AI22*Прайс!$G$92))))</f>
        <v>0</v>
      </c>
      <c r="AB22" s="195">
        <f>IF($G22="Гладкий",IF(OR($C22=0,$C22=""),0,IF($Y22="Матове",$AI22*(Прайс!$D$10-500),IF($Y22="Глянець",$AI22*(Прайс!$D$11-500),IF($Y22="Софт(TS)",$AI22*(Прайс!#REF!-500),0)))),0)+IF($G22="Гладкий",0,IF(AND($Y22="Матове",$H22=1),$AI22*Прайс!$D$73*0.5,IF(AND($Y22="Глянець",$H22=1),$AI22*Прайс!$D$75*0.5,IF(AND($Y22="Софт(TS)",$H22=1),$AI22*Прайс!$D$74*0.5,IF(AND($Y22="Матове покриття з патиною",$H22=1),$AI22*Прайс!$D$77*0.5,IF(AND($Y22="Глянцеве покриття з патиною",$H22=1),$AI22*Прайс!$D$78*0.5,IF(AND($Y22="Матовий DECAPE",$H22=1),$AI22*Прайс!$D$79*0.5,IF(AND($Y22="Глянцевий DECAPE",$H22=1),$AI22*Прайс!$D$80*0.5,0))))))))+IF($G22="Гладкий",0,IF(AND($Y22="Матове",$H22=2),$AI22*Прайс!$E$73*0.5,IF(AND($Y22="Глянець",$H22=2),$AI22*Прайс!$E$75*0.5,IF(AND($Y22="Софт(TS)",$H22=2),$AI22*Прайс!$E$74*0.5,IF(AND($Y22="Матове покриття з патиною",$H22=2),$AI22*Прайс!$E$77*0.5,IF(AND($Y22="Глянцеве покриття з патиною",$H22=2),$AI22*Прайс!$E$78*0.5,IF(AND($Y22="Матовий DECAPE",$H22=2),$AI22*Прайс!$E$79*0.5,IF(AND($Y22="Глянцевий DECAPE",$H22=2),$AI22*Прайс!$E$80*0.5,0)))))))+IF(AND($S22=1,OR($H22=1,$H22=0),$Y22=Прайс!$C$89),$AI22*[1]Прайс!$D$74*0.5,IF(AND($S22=1,OR($H22=1,$H22=0),$Y22=Прайс!$C$90),$AI22*Прайс!$D$90*0.5,IF(AND($S22=1,OR($H22=1,$H22=0),$Y22=Прайс!$C$91),$AI22*Прайс!$D$91*0.5,IF(AND($S22=1,OR($H22=1,$H22=0),$Y22=Прайс!$C$92),$AI22*Прайс!$D$92*0.5,0))))+IF(AND($S22=1,$H22=2,$Y22=Прайс!$C$89),$AI22*Прайс!$E$89*0.5,IF(AND($S22=1,$H22=2,$Y22=Прайс!$C$90),$AI22*Прайс!$E$90*0.5,IF(AND($S22=1,$H22=2,$Y22=Прайс!$C$91),$AI22*Прайс!$E$91*0.5,IF(AND($S22=1,$H22=2,$Y22=Прайс!$C$92),$AI22*Прайс!$E$92*0.5,0)))))</f>
        <v>0</v>
      </c>
      <c r="AC22" s="197" t="str">
        <f>IF(Бланк!AD39="","",Бланк!AD39*E22)</f>
        <v/>
      </c>
      <c r="AD22" s="195">
        <f>IF(OR($AC22=0,$AC22=""),0,$AC22*Прайс!$D$111)</f>
        <v>0</v>
      </c>
      <c r="AE22" s="197" t="str">
        <f>IF(Бланк!AE39="","",Бланк!AE39)</f>
        <v/>
      </c>
      <c r="AF22" s="197" t="str">
        <f>IF(Бланк!AF39="","",Бланк!AF39)</f>
        <v/>
      </c>
      <c r="AG22" s="197" t="str">
        <f>IF(Бланк!AG39="","",Бланк!AG39)</f>
        <v/>
      </c>
      <c r="AH22" s="197" t="str">
        <f>IF(Бланк!AH39="","",Бланк!AH39)</f>
        <v/>
      </c>
      <c r="AI22" s="139">
        <f>IF(Бланк!$AI39="","",Бланк!$AI39)</f>
        <v>0</v>
      </c>
      <c r="AJ22" s="198"/>
      <c r="AK22" s="198"/>
      <c r="AL22" s="198"/>
      <c r="AM22" s="199"/>
      <c r="AN22" s="199"/>
      <c r="AO22" s="199"/>
      <c r="AP22" s="199"/>
      <c r="AQ22" s="200"/>
      <c r="AR22" s="190"/>
    </row>
    <row r="23" spans="2:44" s="202" customFormat="1" ht="21" customHeight="1" x14ac:dyDescent="0.3">
      <c r="B23" s="201">
        <v>20</v>
      </c>
      <c r="C23" s="192" t="str">
        <f>IF(Бланк!$C40="","",Бланк!$C40/1000)</f>
        <v/>
      </c>
      <c r="D23" s="192" t="str">
        <f>IF(Бланк!$D40="","",Бланк!$D40/1000)</f>
        <v/>
      </c>
      <c r="E23" s="192" t="str">
        <f>IF(Бланк!$E40="","",Бланк!$E40)</f>
        <v/>
      </c>
      <c r="F23" s="192" t="str">
        <f>IF(Бланк!$F40="","",Бланк!$F40)</f>
        <v/>
      </c>
      <c r="G23" s="192" t="str">
        <f>IF(Бланк!$G40="","",Бланк!$G40)</f>
        <v/>
      </c>
      <c r="H23" s="193" t="str">
        <f>IF($G23="","",VLOOKUP($G23,Наименование!$M$42:$N$95,2,FALSE))</f>
        <v/>
      </c>
      <c r="I23" s="192" t="str">
        <f>IF(Бланк!$H40="","",Бланк!$H40)</f>
        <v/>
      </c>
      <c r="J23" s="192" t="str">
        <f>IF(Бланк!$I40="","",Бланк!$I40)</f>
        <v/>
      </c>
      <c r="K23" s="194" t="str">
        <f>IF(OR($J23="",$J23=0),"",IF($J23="Пряма з чвертю",(Прайс!$D$106+Прайс!$D$109)*Просчет!$E23,IF($J23="Пряма без чверті",Прайс!$D$106*Просчет!$E23,IF(AND($J23="Шпрос з чвертю",OR($C23&lt;1,$C23=1)),(Прайс!$D$37+Прайс!$D$40)*Просчет!$E23,IF(AND($J23="Шпрос з чвертю",$C23&gt;1),(Прайс!$F$37+Прайс!$D$40)*Просчет!$E23,IF(AND($J23="Шпрос без чверті",OR($C23&lt;1,$C23=1)),Прайс!$D$37*Просчет!$E23,IF(AND($J23="Шпрос без чверті",$C23&gt;1),Прайс!$F$37*Просчет!$E23,"")))))))</f>
        <v/>
      </c>
      <c r="L23" s="192" t="str">
        <f>IF(Бланк!$J40="","",Бланк!$J40/1000)</f>
        <v/>
      </c>
      <c r="M23" s="192" t="str">
        <f>IF(Бланк!$K40="","",Бланк!$K40)</f>
        <v/>
      </c>
      <c r="N23" s="195">
        <f t="shared" si="0"/>
        <v>0</v>
      </c>
      <c r="O23" s="194">
        <f>IF($G23="гладкий",IF($M23="","",IF(OR($M23="J № 1",$M23="J № 2",$M23="J № 2L",$M23="J № 2R",$M23="AJ № 2",$M23="AJ № 2L",$M23="AJ № 2R",$M23="U",$M23="V"),$N23*Прайс!$D$43,IF(OR($M23="AJ № 3R",$M23="AJ № 4R",$M23="AJ № 5R",$M23="AJ № 3L",$M23="AJ № 4L",$M23="AJ № 5L",$M23="AJ № 3",$M23="AJ № 4",$M23="AJ № 5",$M23="J № 3",$M23="J № 4",$M23="J № 5",$M23="J № 6",$M23="J № 7",$M23="L",$M23="AL"),Прайс!$D$43*$E23,IF(OR($M23="J № 3L",$M23="J № 3R",$M23="J № 4L",$M23="J № 4R",$M23="J № 5L",$M23="J № 5R"),$N23/2*Прайс!$D$47*$E23,IF($M23="45 град.",$N23*Прайс!$D$42,0))))),0)</f>
        <v>0</v>
      </c>
      <c r="P23" s="192" t="str">
        <f>IF(Бланк!$L40="","",Бланк!$L40)</f>
        <v/>
      </c>
      <c r="Q23" s="192" t="str">
        <f>IF(Бланк!$M40="","",Бланк!$M40)</f>
        <v/>
      </c>
      <c r="R23" s="194">
        <f>IF($P23="",0,IF($Q23=$U23,0,IF($Q23="",0,IF(OR($G23=35,$G23=36,$G23=37,$G23=38),Прайс!$D$118*Бланк!E40,IF(AND($G23="гладкий",OR($M23="J № 1",$M23="J № 2",$M23="J № 2L",$M23="J № 2R")),$N23*Прайс!$D$59,0)))))</f>
        <v>0</v>
      </c>
      <c r="S23" s="192" t="str">
        <f>IF(OR(Бланк!$O40=0,Бланк!$O40=""),"",1)</f>
        <v/>
      </c>
      <c r="T23" s="192" t="str">
        <f>IF(Бланк!$R40="","",Бланк!$R40)</f>
        <v/>
      </c>
      <c r="U23" s="192" t="str">
        <f>IF(Бланк!$S40="","",Бланк!$S40)</f>
        <v/>
      </c>
      <c r="V23" s="192" t="str">
        <f>IF(Бланк!$T40="","",Бланк!$T40)</f>
        <v/>
      </c>
      <c r="W23" s="196" t="str">
        <f>IF(Бланк!$W40="","",Бланк!$W40)</f>
        <v/>
      </c>
      <c r="X23" s="197" t="str">
        <f>IF(Бланк!AB40="","",Бланк!AB40)</f>
        <v/>
      </c>
      <c r="Y23" s="197" t="str">
        <f>IF(Бланк!AC40="","",Бланк!AC40)</f>
        <v/>
      </c>
      <c r="Z23" s="195">
        <f>IF($G23="Гладкий",IF(OR($C23=0,$C23=""),0,IF(AND(OR($V23="Перли",$V23="Металік",$V23="Перл.зол.",$V23="Перл.ср.",$V23="Перл.зол.",$V23="Зор.н.ср.",$V23="Зор.н.зол.",$V23="Зор.н.різн.",$V23="Гума"),OR($F23=4,$F23=6,$F23=8,$F23=10,$F23=16)),$AI23*Прайс!$D$12,IF(AND(OR($V23="",$V23=0),$X23="Матове",OR($F23=4,$F23=6,$F23=8,$F23=10,$F23=16)),$AI23*Прайс!$D$10,IF(AND(OR($V23="",$V23=0),$X23="Глянець",OR($F23=4,$F23=6,$F23=8,$F23=10,$F23=16)),$AI23*Прайс!$D$11,IF(AND(OR($V23="",$V23=0),$X23="Софт(TS)",OR($F23=4,$F23=6,$F23=8,$F23=10,$F23=16)),$AI23*Прайс!#REF!,0))))),0)+IF($G23="Гладкий",0,IF(AND(OR($V23="Перли",$V23="Металік",$V23="Перл.зол.",$V23="Перл.ср.",$V23="Перл.зол.",$V23="Зор.н.ср.",$V23="Зор.н.зол.",$V23="Зор.н.різн.",$V23="Гума"),OR($F23=4,$F23=6,$F23=8,$F23=10,$F23=16),$H23=1),Просчет!$AI23*Прайс!$D$76,IF(AND(OR($V23="",$V23=0),$X23="Матове",OR($F23=4,$F23=6,$F23=8,$F23=10,$F23=16),$H23=1),Просчет!$AI23*Прайс!$D$73,IF(AND(OR($V23="",$V23=0),$X23="Глянець",OR($F23=4,$F23=6,$F23=8,$F23=10,$F23=16),$H23=1),Просчет!$AI23*Прайс!$D$75,IF(AND(OR($V23="",$V23=0),$G23="Софт(TS)",OR($F23=4,$F23=6,$F23=8,$F23=10,$F23=16),$H23=1),$AI23*Прайс!$D$74,IF(AND(OR($V23="",$V23=0),$X23="Матове покриття з патиною",OR($F23=4,$F23=6,$F23=8,$F23=10,$F23=16),$H23=1),$AI23*Прайс!$D$77,IF(AND(OR($V23="",$V23=0),$X23="Глянцеве покриття з патиною",OR($F23=4,$F23=6,$F23=8,$F23=10,$F23=16),$H23=1),$AI23*Прайс!$D$78,IF(AND(OR($V23="",$V23=0),$X23="Матовий DECAPE",OR($F23=4,$F23=6,$F23=8,$F23=10,$F23=16),$H23=1),$AI23*Прайс!$D$79,IF(AND(OR($V23="",$V23=0),$X23="Глянцевий DECAPE",OR($F23=4,$F23=6,$F23=8,$F23=10,$F23=16),$H23=1),$AI23*Прайс!$D$80,0)))))))))+IF($G23="Гладкий",0,IF(AND(OR($V23="Перли",$V23="Металік",$V23="Перл.зол.",$V23="Перл.ср.",$V23="Перл.зол.",$V23="Зор.н.ср.",$V23="Зор.н.зол.",$V23="Зор.н.різн.",$V23="Гума"),OR($F23=4,$F23=6,$F23=8,$F23=10,$F23=16),$H23=2),$AI23*Прайс!$E$76,IF(AND(OR($V23="",$V23=0),$X23="Матове",OR($F23=4,$F23=6,$F23=8,$F23=10,$F23=16),$H23=2),Просчет!$AI23*Прайс!$E$73,IF(AND(OR($V23="",$V23=0),$X23="Глянець",OR($F23=4,$F23=6,$F23=8,$F23=10,$F23=16),$H23=2),$AI23*Прайс!$E$75,IF(AND(OR($V23="",$V23=0),$X23="Софт(TS)",OR($F23=4,$F23=6,$F23=8,$F23=10,$F23=16),$H23=2),$AI23*Прайс!$E$74,IF(AND(OR($V23="",$V23=0),$X23="Матове покриття з патиною",OR($F23=4,$F23=6,$F23=8,$F23=10,$F23=16),$H23=2),$AI23*Прайс!$E$77,IF(AND(OR($V23="",$V23=0),$X23="Глянцеве покриття з патиною",OR($F23=4,$F23=6,$F23=8,$F23=10,$F23=16),$H23=2),$AI23*Прайс!$E$78,IF(AND(OR($V23="",$V23=0),$X23="Матовий DECAPE",OR($F23=4,$F23=6,$F23=8,$F23=10,$F23=16),$H23=2),$AI23*Прайс!$E$79,IF(AND(OR($V23="",$V23=0),$X23="Глянцевий DECAPE",OR($F23=4,$F23=6,$F23=8,$F23=10,$F23=16),$H23=2),$AI23*Прайс!$E$80,0)))))))))+IF(AND($S23=1,OR($H23=1,$H23=0),$X23=Наименование!$L$12,OR($F23=4,$F23=6,$F23=8,$F23=10,$F23=16)),$AI23*Прайс!$D$89,IF(AND($S23=1,OR($H23=1,$H23=0),$X23=Наименование!$L$13,OR($F23=4,$F23=6,$F23=8,$F23=10,$F23=16)),$AI23*Прайс!$D$90,IF(AND($S23=1,OR($H23=1,$H23=0),$X23=Наименование!$L43,OR($F23=4,$F23=6,$F23=8,$F23=10,$F23=16)),$AI23*Прайс!$D$91,IF(AND($S23=1,OR($H23=1,$H23=0),$X23=Наименование!$L$15,OR($F23=4,$F23=6,$F23=8,$F23=10,$F23=16)),$AI23*Прайс!$D$92,0))))+IF(AND($S23=1,$H23=2,$X23=Наименование!$L$12,OR($F23=4,$F23=6,$F23=8,$F23=10,$F23=16)),$AI23*Прайс!$E$89,IF(AND($S23=1,$H23=2,$X23=Наименование!$L$13,OR($F23=4,$F23=6,$F23=8,$F23=10,$F23=16)),$AI23*Прайс!$E$90,IF(AND($S23=1,$H23=2,$X23=Наименование!$L$14,OR($F23=4,$F23=6,$F23=8,$F23=10,$F23=16)),$AI23*Прайс!$E$91,IF(AND($S23=1,$H23=2,$X23=Наименование!$L$15,OR($F23=4,$F23=6,$F23=8,$F23=10,$F23=16)),$AI23*Прайс!$E$92))))</f>
        <v>0</v>
      </c>
      <c r="AA23" s="195">
        <f>IF($G23="Гладкий",IF(OR($C23=0,$C23=""),0,IF(AND(OR($V23="Перли",$V23="Металік",$V23="Перл.зол.",$V23="Перл.ср.",$V23="Перл.зол.",$V23="Зор.н.ср.",$V23="Зор.н.зол.",$V23="Зор.н.різн.",$V23="Гума"),$F23=19),$AI23*Прайс!$E$12,IF(AND(OR($V23="",$V23=0),$X23="Матове",$F23=19),$AI23*Прайс!$E$10,IF(AND(OR($V23="",$V23=0),$X23="Глянець",$F23=19),$AI23*Прайс!$E$11,IF(AND(OR($V23="",$V23=0),$X23="Софт(TS)",$F23=19),$AI23*Прайс!#REF!,0))))),0)+IF($G23="Гладкий",0,IF(AND(OR($V23="Перли",$V23="Металік",$V23="Перл.зол.",$V23="Перл.ср.",$V23="Перл.зол.",$V23="Зор.н.ср.",$V23="Зор.н.зол.",$V23="Зор.н.різн.",$V23="Гума"),$F23=19,$H23=1),Просчет!$AI23*Прайс!$F$76,IF(AND(OR($V23="",$V23=0),$X23="Матове",$F23=19,$H23=1),Просчет!$AI23*Прайс!$F$73,IF(AND(OR($V23="",$V23=0),$X23="Глянець",$F23=19,$H23=1),Просчет!$AI23*Прайс!$F$75,IF(AND(OR($V23="",$V23=0),$G23="Софт(TS)",$F23=19,$H23=1),$AI23*Прайс!$F$74,IF(AND(OR($V23="",$V23=0),$X23="Матове покриття з патиною",$F23=19,$H23=1),$AI23*Прайс!$F$77,IF(AND(OR($V23="",$V23=0),$X23="Глянцеве покриття з патиною",$F23=19,$H23=1),$AI23*Прайс!$F$78,IF(AND(OR($V23="",$V23=0),$X23="Матовий DECAPE",$F23=19,$H23=1),$AI23*Прайс!$F$79,IF(AND(OR($V23="",$V23=0),$X23="Глянцевий DECAPE",$F23=19,$H23=1),$AI23*Прайс!$F$80,0)))))))))+IF($G23="Гладкий",0,IF(AND(OR($V23="Перли",$V23="Металік",$V23="Перл.зол.",$V23="Перл.ср.",$V23="Перл.зол.",$V23="Зор.н.ср.",$V23="Зор.н.зол.",$V23="Зор.н.різн.",$V23="Гума"),$F23=19,$H23=2),$AI23*Прайс!$G$76,IF(AND(OR($V23="",$V23=0),$X23="Матове",$F23=19,$H23=2),Просчет!$AI23*Прайс!$G$73,IF(AND(OR($V23="",$V23=0),$X23="Глянець",$F23=19,$H23=2),$AI23*Прайс!$G$75,IF(AND(OR($V23="",$V23=0),$X23="Софт(TS)",$F23=19,$H23=2),$AI23*Прайс!$G$74,IF(AND(OR($V23="",$V23=0),$X23="Матове покриття з патиною",$F23=19,$H23=2),$AI23*Прайс!$G$77,IF(AND(OR($V23="",$V23=0),$X23="Глянцеве покриття з патиною",$F23=19,$H23=2),$AI23*Прайс!$G$78,IF(AND(OR($V23="",$V23=0),$X23="Матовий DECAPE",$F23=19,$H23=2),$AI23*Прайс!$G$79,IF(AND(OR($V23="",$V23=0),$X23="Глянцевий DECAPE",$F23=19,$H23=2),$AI23*Прайс!$G$78,0)))))))))+IF(AND($S23=1,OR($H23=1,$H23=0),$X23=Наименование!$L$12,$F23=19),$AI23*Прайс!$F$89,IF(AND($S23=1,OR($H23=1,$H23=0),$X23=Наименование!$L$13,$F23=19),$AI23*Прайс!$F$90,IF(AND($S23=1,OR($H23=1,$H23=0),$X23=Наименование!$L43,$F23=19),$AI23*Прайс!$F$91,IF(AND($S23=1,OR($H23=1,$H23=0),$X23=Наименование!$L$15,$F23=19),$AI23*Прайс!$F$92,0))))+IF(AND($S23=1,$H23=2,$X23=Наименование!$L$12,$F23=19),$AI23*Прайс!$G$89,IF(AND($S23=1,$H23=2,$X23=Наименование!$L$13,$F23=19),$AI23*Прайс!$G$90,IF(AND($S23=1,$H23=2,$X23=Наименование!$L$14,$F23=19),$AI23*Прайс!$G$91,IF(AND($S23=1,$H23=2,$X23=Наименование!$L$15,$F23=19),$AI23*Прайс!$G$92))))</f>
        <v>0</v>
      </c>
      <c r="AB23" s="195">
        <f>IF($G23="Гладкий",IF(OR($C23=0,$C23=""),0,IF($Y23="Матове",$AI23*(Прайс!$D$10-500),IF($Y23="Глянець",$AI23*(Прайс!$D$11-500),IF($Y23="Софт(TS)",$AI23*(Прайс!#REF!-500),0)))),0)+IF($G23="Гладкий",0,IF(AND($Y23="Матове",$H23=1),$AI23*Прайс!$D$73*0.5,IF(AND($Y23="Глянець",$H23=1),$AI23*Прайс!$D$75*0.5,IF(AND($Y23="Софт(TS)",$H23=1),$AI23*Прайс!$D$74*0.5,IF(AND($Y23="Матове покриття з патиною",$H23=1),$AI23*Прайс!$D$77*0.5,IF(AND($Y23="Глянцеве покриття з патиною",$H23=1),$AI23*Прайс!$D$78*0.5,IF(AND($Y23="Матовий DECAPE",$H23=1),$AI23*Прайс!$D$79*0.5,IF(AND($Y23="Глянцевий DECAPE",$H23=1),$AI23*Прайс!$D$80*0.5,0))))))))+IF($G23="Гладкий",0,IF(AND($Y23="Матове",$H23=2),$AI23*Прайс!$E$73*0.5,IF(AND($Y23="Глянець",$H23=2),$AI23*Прайс!$E$75*0.5,IF(AND($Y23="Софт(TS)",$H23=2),$AI23*Прайс!$E$74*0.5,IF(AND($Y23="Матове покриття з патиною",$H23=2),$AI23*Прайс!$E$77*0.5,IF(AND($Y23="Глянцеве покриття з патиною",$H23=2),$AI23*Прайс!$E$78*0.5,IF(AND($Y23="Матовий DECAPE",$H23=2),$AI23*Прайс!$E$79*0.5,IF(AND($Y23="Глянцевий DECAPE",$H23=2),$AI23*Прайс!$E$80*0.5,0)))))))+IF(AND($S23=1,OR($H23=1,$H23=0),$Y23=Прайс!$C$89),$AI23*[1]Прайс!$D$74*0.5,IF(AND($S23=1,OR($H23=1,$H23=0),$Y23=Прайс!$C$90),$AI23*Прайс!$D$90*0.5,IF(AND($S23=1,OR($H23=1,$H23=0),$Y23=Прайс!$C$91),$AI23*Прайс!$D$91*0.5,IF(AND($S23=1,OR($H23=1,$H23=0),$Y23=Прайс!$C$92),$AI23*Прайс!$D$92*0.5,0))))+IF(AND($S23=1,$H23=2,$Y23=Прайс!$C$89),$AI23*Прайс!$E$89*0.5,IF(AND($S23=1,$H23=2,$Y23=Прайс!$C$90),$AI23*Прайс!$E$90*0.5,IF(AND($S23=1,$H23=2,$Y23=Прайс!$C$91),$AI23*Прайс!$E$91*0.5,IF(AND($S23=1,$H23=2,$Y23=Прайс!$C$92),$AI23*Прайс!$E$92*0.5,0)))))</f>
        <v>0</v>
      </c>
      <c r="AC23" s="197" t="str">
        <f>IF(Бланк!AD40="","",Бланк!AD40*E23)</f>
        <v/>
      </c>
      <c r="AD23" s="195">
        <f>IF(OR($AC23=0,$AC23=""),0,$AC23*Прайс!$D$111)</f>
        <v>0</v>
      </c>
      <c r="AE23" s="197" t="str">
        <f>IF(Бланк!AE40="","",Бланк!AE40)</f>
        <v/>
      </c>
      <c r="AF23" s="197" t="str">
        <f>IF(Бланк!AF40="","",Бланк!AF40)</f>
        <v/>
      </c>
      <c r="AG23" s="197" t="str">
        <f>IF(Бланк!AG40="","",Бланк!AG40)</f>
        <v/>
      </c>
      <c r="AH23" s="197" t="str">
        <f>IF(Бланк!AH40="","",Бланк!AH40)</f>
        <v/>
      </c>
      <c r="AI23" s="139">
        <f>IF(Бланк!$AI40="","",Бланк!$AI40)</f>
        <v>0</v>
      </c>
      <c r="AJ23" s="198"/>
      <c r="AK23" s="198"/>
      <c r="AL23" s="198"/>
      <c r="AM23" s="199"/>
      <c r="AN23" s="199"/>
      <c r="AO23" s="199"/>
      <c r="AP23" s="199"/>
      <c r="AQ23" s="200"/>
      <c r="AR23" s="190"/>
    </row>
    <row r="24" spans="2:44" s="202" customFormat="1" ht="21" customHeight="1" x14ac:dyDescent="0.3">
      <c r="B24" s="201">
        <v>21</v>
      </c>
      <c r="C24" s="192" t="str">
        <f>IF(Бланк!$C41="","",Бланк!$C41/1000)</f>
        <v/>
      </c>
      <c r="D24" s="192" t="str">
        <f>IF(Бланк!$D41="","",Бланк!$D41/1000)</f>
        <v/>
      </c>
      <c r="E24" s="192" t="str">
        <f>IF(Бланк!$E41="","",Бланк!$E41)</f>
        <v/>
      </c>
      <c r="F24" s="192" t="str">
        <f>IF(Бланк!$F41="","",Бланк!$F41)</f>
        <v/>
      </c>
      <c r="G24" s="192" t="str">
        <f>IF(Бланк!$G41="","",Бланк!$G41)</f>
        <v/>
      </c>
      <c r="H24" s="193" t="str">
        <f>IF($G24="","",VLOOKUP($G24,Наименование!$M$42:$N$95,2,FALSE))</f>
        <v/>
      </c>
      <c r="I24" s="192" t="str">
        <f>IF(Бланк!$H41="","",Бланк!$H41)</f>
        <v/>
      </c>
      <c r="J24" s="192" t="str">
        <f>IF(Бланк!$I41="","",Бланк!$I41)</f>
        <v/>
      </c>
      <c r="K24" s="194" t="str">
        <f>IF(OR($J24="",$J24=0),"",IF($J24="Пряма з чвертю",(Прайс!$D$106+Прайс!$D$109)*Просчет!$E24,IF($J24="Пряма без чверті",Прайс!$D$106*Просчет!$E24,IF(AND($J24="Шпрос з чвертю",OR($C24&lt;1,$C24=1)),(Прайс!$D$37+Прайс!$D$40)*Просчет!$E24,IF(AND($J24="Шпрос з чвертю",$C24&gt;1),(Прайс!$F$37+Прайс!$D$40)*Просчет!$E24,IF(AND($J24="Шпрос без чверті",OR($C24&lt;1,$C24=1)),Прайс!$D$37*Просчет!$E24,IF(AND($J24="Шпрос без чверті",$C24&gt;1),Прайс!$F$37*Просчет!$E24,"")))))))</f>
        <v/>
      </c>
      <c r="L24" s="192" t="str">
        <f>IF(Бланк!$J41="","",Бланк!$J41/1000)</f>
        <v/>
      </c>
      <c r="M24" s="192" t="str">
        <f>IF(Бланк!$K41="","",Бланк!$K41)</f>
        <v/>
      </c>
      <c r="N24" s="195">
        <f t="shared" si="0"/>
        <v>0</v>
      </c>
      <c r="O24" s="194">
        <f>IF($G24="гладкий",IF($M24="","",IF(OR($M24="J № 1",$M24="J № 2",$M24="J № 2L",$M24="J № 2R",$M24="AJ № 2",$M24="AJ № 2L",$M24="AJ № 2R",$M24="U",$M24="V"),$N24*Прайс!$D$43,IF(OR($M24="AJ № 3R",$M24="AJ № 4R",$M24="AJ № 5R",$M24="AJ № 3L",$M24="AJ № 4L",$M24="AJ № 5L",$M24="AJ № 3",$M24="AJ № 4",$M24="AJ № 5",$M24="J № 3",$M24="J № 4",$M24="J № 5",$M24="J № 6",$M24="J № 7",$M24="L",$M24="AL"),Прайс!$D$43*$E24,IF(OR($M24="J № 3L",$M24="J № 3R",$M24="J № 4L",$M24="J № 4R",$M24="J № 5L",$M24="J № 5R"),$N24/2*Прайс!$D$47*$E24,IF($M24="45 град.",$N24*Прайс!$D$42,0))))),0)</f>
        <v>0</v>
      </c>
      <c r="P24" s="192" t="str">
        <f>IF(Бланк!$L41="","",Бланк!$L41)</f>
        <v/>
      </c>
      <c r="Q24" s="192" t="str">
        <f>IF(Бланк!$M41="","",Бланк!$M41)</f>
        <v/>
      </c>
      <c r="R24" s="194">
        <f>IF($P24="",0,IF($Q24=$U24,0,IF($Q24="",0,IF(OR($G24=35,$G24=36,$G24=37,$G24=38),Прайс!$D$118*Бланк!E41,IF(AND($G24="гладкий",OR($M24="J № 1",$M24="J № 2",$M24="J № 2L",$M24="J № 2R")),$N24*Прайс!$D$59,0)))))</f>
        <v>0</v>
      </c>
      <c r="S24" s="192" t="str">
        <f>IF(OR(Бланк!$O41=0,Бланк!$O41=""),"",1)</f>
        <v/>
      </c>
      <c r="T24" s="192" t="str">
        <f>IF(Бланк!$R41="","",Бланк!$R41)</f>
        <v/>
      </c>
      <c r="U24" s="192" t="str">
        <f>IF(Бланк!$S41="","",Бланк!$S41)</f>
        <v/>
      </c>
      <c r="V24" s="192" t="str">
        <f>IF(Бланк!$T41="","",Бланк!$T41)</f>
        <v/>
      </c>
      <c r="W24" s="196" t="str">
        <f>IF(Бланк!$W41="","",Бланк!$W41)</f>
        <v/>
      </c>
      <c r="X24" s="197" t="str">
        <f>IF(Бланк!AB41="","",Бланк!AB41)</f>
        <v/>
      </c>
      <c r="Y24" s="197" t="str">
        <f>IF(Бланк!AC41="","",Бланк!AC41)</f>
        <v/>
      </c>
      <c r="Z24" s="195">
        <f>IF($G24="Гладкий",IF(OR($C24=0,$C24=""),0,IF(AND(OR($V24="Перли",$V24="Металік",$V24="Перл.зол.",$V24="Перл.ср.",$V24="Перл.зол.",$V24="Зор.н.ср.",$V24="Зор.н.зол.",$V24="Зор.н.різн.",$V24="Гума"),OR($F24=4,$F24=6,$F24=8,$F24=10,$F24=16)),$AI24*Прайс!$D$12,IF(AND(OR($V24="",$V24=0),$X24="Матове",OR($F24=4,$F24=6,$F24=8,$F24=10,$F24=16)),$AI24*Прайс!$D$10,IF(AND(OR($V24="",$V24=0),$X24="Глянець",OR($F24=4,$F24=6,$F24=8,$F24=10,$F24=16)),$AI24*Прайс!$D$11,IF(AND(OR($V24="",$V24=0),$X24="Софт(TS)",OR($F24=4,$F24=6,$F24=8,$F24=10,$F24=16)),$AI24*Прайс!#REF!,0))))),0)+IF($G24="Гладкий",0,IF(AND(OR($V24="Перли",$V24="Металік",$V24="Перл.зол.",$V24="Перл.ср.",$V24="Перл.зол.",$V24="Зор.н.ср.",$V24="Зор.н.зол.",$V24="Зор.н.різн.",$V24="Гума"),OR($F24=4,$F24=6,$F24=8,$F24=10,$F24=16),$H24=1),Просчет!$AI24*Прайс!$D$76,IF(AND(OR($V24="",$V24=0),$X24="Матове",OR($F24=4,$F24=6,$F24=8,$F24=10,$F24=16),$H24=1),Просчет!$AI24*Прайс!$D$73,IF(AND(OR($V24="",$V24=0),$X24="Глянець",OR($F24=4,$F24=6,$F24=8,$F24=10,$F24=16),$H24=1),Просчет!$AI24*Прайс!$D$75,IF(AND(OR($V24="",$V24=0),$G24="Софт(TS)",OR($F24=4,$F24=6,$F24=8,$F24=10,$F24=16),$H24=1),$AI24*Прайс!$D$74,IF(AND(OR($V24="",$V24=0),$X24="Матове покриття з патиною",OR($F24=4,$F24=6,$F24=8,$F24=10,$F24=16),$H24=1),$AI24*Прайс!$D$77,IF(AND(OR($V24="",$V24=0),$X24="Глянцеве покриття з патиною",OR($F24=4,$F24=6,$F24=8,$F24=10,$F24=16),$H24=1),$AI24*Прайс!$D$78,IF(AND(OR($V24="",$V24=0),$X24="Матовий DECAPE",OR($F24=4,$F24=6,$F24=8,$F24=10,$F24=16),$H24=1),$AI24*Прайс!$D$79,IF(AND(OR($V24="",$V24=0),$X24="Глянцевий DECAPE",OR($F24=4,$F24=6,$F24=8,$F24=10,$F24=16),$H24=1),$AI24*Прайс!$D$80,0)))))))))+IF($G24="Гладкий",0,IF(AND(OR($V24="Перли",$V24="Металік",$V24="Перл.зол.",$V24="Перл.ср.",$V24="Перл.зол.",$V24="Зор.н.ср.",$V24="Зор.н.зол.",$V24="Зор.н.різн.",$V24="Гума"),OR($F24=4,$F24=6,$F24=8,$F24=10,$F24=16),$H24=2),$AI24*Прайс!$E$76,IF(AND(OR($V24="",$V24=0),$X24="Матове",OR($F24=4,$F24=6,$F24=8,$F24=10,$F24=16),$H24=2),Просчет!$AI24*Прайс!$E$73,IF(AND(OR($V24="",$V24=0),$X24="Глянець",OR($F24=4,$F24=6,$F24=8,$F24=10,$F24=16),$H24=2),$AI24*Прайс!$E$75,IF(AND(OR($V24="",$V24=0),$X24="Софт(TS)",OR($F24=4,$F24=6,$F24=8,$F24=10,$F24=16),$H24=2),$AI24*Прайс!$E$74,IF(AND(OR($V24="",$V24=0),$X24="Матове покриття з патиною",OR($F24=4,$F24=6,$F24=8,$F24=10,$F24=16),$H24=2),$AI24*Прайс!$E$77,IF(AND(OR($V24="",$V24=0),$X24="Глянцеве покриття з патиною",OR($F24=4,$F24=6,$F24=8,$F24=10,$F24=16),$H24=2),$AI24*Прайс!$E$78,IF(AND(OR($V24="",$V24=0),$X24="Матовий DECAPE",OR($F24=4,$F24=6,$F24=8,$F24=10,$F24=16),$H24=2),$AI24*Прайс!$E$79,IF(AND(OR($V24="",$V24=0),$X24="Глянцевий DECAPE",OR($F24=4,$F24=6,$F24=8,$F24=10,$F24=16),$H24=2),$AI24*Прайс!$E$80,0)))))))))+IF(AND($S24=1,OR($H24=1,$H24=0),$X24=Наименование!$L$12,OR($F24=4,$F24=6,$F24=8,$F24=10,$F24=16)),$AI24*Прайс!$D$89,IF(AND($S24=1,OR($H24=1,$H24=0),$X24=Наименование!$L$13,OR($F24=4,$F24=6,$F24=8,$F24=10,$F24=16)),$AI24*Прайс!$D$90,IF(AND($S24=1,OR($H24=1,$H24=0),$X24=Наименование!$L44,OR($F24=4,$F24=6,$F24=8,$F24=10,$F24=16)),$AI24*Прайс!$D$91,IF(AND($S24=1,OR($H24=1,$H24=0),$X24=Наименование!$L$15,OR($F24=4,$F24=6,$F24=8,$F24=10,$F24=16)),$AI24*Прайс!$D$92,0))))+IF(AND($S24=1,$H24=2,$X24=Наименование!$L$12,OR($F24=4,$F24=6,$F24=8,$F24=10,$F24=16)),$AI24*Прайс!$E$89,IF(AND($S24=1,$H24=2,$X24=Наименование!$L$13,OR($F24=4,$F24=6,$F24=8,$F24=10,$F24=16)),$AI24*Прайс!$E$90,IF(AND($S24=1,$H24=2,$X24=Наименование!$L$14,OR($F24=4,$F24=6,$F24=8,$F24=10,$F24=16)),$AI24*Прайс!$E$91,IF(AND($S24=1,$H24=2,$X24=Наименование!$L$15,OR($F24=4,$F24=6,$F24=8,$F24=10,$F24=16)),$AI24*Прайс!$E$92))))</f>
        <v>0</v>
      </c>
      <c r="AA24" s="195">
        <f>IF($G24="Гладкий",IF(OR($C24=0,$C24=""),0,IF(AND(OR($V24="Перли",$V24="Металік",$V24="Перл.зол.",$V24="Перл.ср.",$V24="Перл.зол.",$V24="Зор.н.ср.",$V24="Зор.н.зол.",$V24="Зор.н.різн.",$V24="Гума"),$F24=19),$AI24*Прайс!$E$12,IF(AND(OR($V24="",$V24=0),$X24="Матове",$F24=19),$AI24*Прайс!$E$10,IF(AND(OR($V24="",$V24=0),$X24="Глянець",$F24=19),$AI24*Прайс!$E$11,IF(AND(OR($V24="",$V24=0),$X24="Софт(TS)",$F24=19),$AI24*Прайс!#REF!,0))))),0)+IF($G24="Гладкий",0,IF(AND(OR($V24="Перли",$V24="Металік",$V24="Перл.зол.",$V24="Перл.ср.",$V24="Перл.зол.",$V24="Зор.н.ср.",$V24="Зор.н.зол.",$V24="Зор.н.різн.",$V24="Гума"),$F24=19,$H24=1),Просчет!$AI24*Прайс!$F$76,IF(AND(OR($V24="",$V24=0),$X24="Матове",$F24=19,$H24=1),Просчет!$AI24*Прайс!$F$73,IF(AND(OR($V24="",$V24=0),$X24="Глянець",$F24=19,$H24=1),Просчет!$AI24*Прайс!$F$75,IF(AND(OR($V24="",$V24=0),$G24="Софт(TS)",$F24=19,$H24=1),$AI24*Прайс!$F$74,IF(AND(OR($V24="",$V24=0),$X24="Матове покриття з патиною",$F24=19,$H24=1),$AI24*Прайс!$F$77,IF(AND(OR($V24="",$V24=0),$X24="Глянцеве покриття з патиною",$F24=19,$H24=1),$AI24*Прайс!$F$78,IF(AND(OR($V24="",$V24=0),$X24="Матовий DECAPE",$F24=19,$H24=1),$AI24*Прайс!$F$79,IF(AND(OR($V24="",$V24=0),$X24="Глянцевий DECAPE",$F24=19,$H24=1),$AI24*Прайс!$F$80,0)))))))))+IF($G24="Гладкий",0,IF(AND(OR($V24="Перли",$V24="Металік",$V24="Перл.зол.",$V24="Перл.ср.",$V24="Перл.зол.",$V24="Зор.н.ср.",$V24="Зор.н.зол.",$V24="Зор.н.різн.",$V24="Гума"),$F24=19,$H24=2),$AI24*Прайс!$G$76,IF(AND(OR($V24="",$V24=0),$X24="Матове",$F24=19,$H24=2),Просчет!$AI24*Прайс!$G$73,IF(AND(OR($V24="",$V24=0),$X24="Глянець",$F24=19,$H24=2),$AI24*Прайс!$G$75,IF(AND(OR($V24="",$V24=0),$X24="Софт(TS)",$F24=19,$H24=2),$AI24*Прайс!$G$74,IF(AND(OR($V24="",$V24=0),$X24="Матове покриття з патиною",$F24=19,$H24=2),$AI24*Прайс!$G$77,IF(AND(OR($V24="",$V24=0),$X24="Глянцеве покриття з патиною",$F24=19,$H24=2),$AI24*Прайс!$G$78,IF(AND(OR($V24="",$V24=0),$X24="Матовий DECAPE",$F24=19,$H24=2),$AI24*Прайс!$G$79,IF(AND(OR($V24="",$V24=0),$X24="Глянцевий DECAPE",$F24=19,$H24=2),$AI24*Прайс!$G$78,0)))))))))+IF(AND($S24=1,OR($H24=1,$H24=0),$X24=Наименование!$L$12,$F24=19),$AI24*Прайс!$F$89,IF(AND($S24=1,OR($H24=1,$H24=0),$X24=Наименование!$L$13,$F24=19),$AI24*Прайс!$F$90,IF(AND($S24=1,OR($H24=1,$H24=0),$X24=Наименование!$L44,$F24=19),$AI24*Прайс!$F$91,IF(AND($S24=1,OR($H24=1,$H24=0),$X24=Наименование!$L$15,$F24=19),$AI24*Прайс!$F$92,0))))+IF(AND($S24=1,$H24=2,$X24=Наименование!$L$12,$F24=19),$AI24*Прайс!$G$89,IF(AND($S24=1,$H24=2,$X24=Наименование!$L$13,$F24=19),$AI24*Прайс!$G$90,IF(AND($S24=1,$H24=2,$X24=Наименование!$L$14,$F24=19),$AI24*Прайс!$G$91,IF(AND($S24=1,$H24=2,$X24=Наименование!$L$15,$F24=19),$AI24*Прайс!$G$92))))</f>
        <v>0</v>
      </c>
      <c r="AB24" s="195">
        <f>IF($G24="Гладкий",IF(OR($C24=0,$C24=""),0,IF($Y24="Матове",$AI24*(Прайс!$D$10-500),IF($Y24="Глянець",$AI24*(Прайс!$D$11-500),IF($Y24="Софт(TS)",$AI24*(Прайс!#REF!-500),0)))),0)+IF($G24="Гладкий",0,IF(AND($Y24="Матове",$H24=1),$AI24*Прайс!$D$73*0.5,IF(AND($Y24="Глянець",$H24=1),$AI24*Прайс!$D$75*0.5,IF(AND($Y24="Софт(TS)",$H24=1),$AI24*Прайс!$D$74*0.5,IF(AND($Y24="Матове покриття з патиною",$H24=1),$AI24*Прайс!$D$77*0.5,IF(AND($Y24="Глянцеве покриття з патиною",$H24=1),$AI24*Прайс!$D$78*0.5,IF(AND($Y24="Матовий DECAPE",$H24=1),$AI24*Прайс!$D$79*0.5,IF(AND($Y24="Глянцевий DECAPE",$H24=1),$AI24*Прайс!$D$80*0.5,0))))))))+IF($G24="Гладкий",0,IF(AND($Y24="Матове",$H24=2),$AI24*Прайс!$E$73*0.5,IF(AND($Y24="Глянець",$H24=2),$AI24*Прайс!$E$75*0.5,IF(AND($Y24="Софт(TS)",$H24=2),$AI24*Прайс!$E$74*0.5,IF(AND($Y24="Матове покриття з патиною",$H24=2),$AI24*Прайс!$E$77*0.5,IF(AND($Y24="Глянцеве покриття з патиною",$H24=2),$AI24*Прайс!$E$78*0.5,IF(AND($Y24="Матовий DECAPE",$H24=2),$AI24*Прайс!$E$79*0.5,IF(AND($Y24="Глянцевий DECAPE",$H24=2),$AI24*Прайс!$E$80*0.5,0)))))))+IF(AND($S24=1,OR($H24=1,$H24=0),$Y24=Прайс!$C$89),$AI24*[1]Прайс!$D$74*0.5,IF(AND($S24=1,OR($H24=1,$H24=0),$Y24=Прайс!$C$90),$AI24*Прайс!$D$90*0.5,IF(AND($S24=1,OR($H24=1,$H24=0),$Y24=Прайс!$C$91),$AI24*Прайс!$D$91*0.5,IF(AND($S24=1,OR($H24=1,$H24=0),$Y24=Прайс!$C$92),$AI24*Прайс!$D$92*0.5,0))))+IF(AND($S24=1,$H24=2,$Y24=Прайс!$C$89),$AI24*Прайс!$E$89*0.5,IF(AND($S24=1,$H24=2,$Y24=Прайс!$C$90),$AI24*Прайс!$E$90*0.5,IF(AND($S24=1,$H24=2,$Y24=Прайс!$C$91),$AI24*Прайс!$E$91*0.5,IF(AND($S24=1,$H24=2,$Y24=Прайс!$C$92),$AI24*Прайс!$E$92*0.5,0)))))</f>
        <v>0</v>
      </c>
      <c r="AC24" s="197" t="str">
        <f>IF(Бланк!AD41="","",Бланк!AD41*E24)</f>
        <v/>
      </c>
      <c r="AD24" s="195">
        <f>IF(OR($AC24=0,$AC24=""),0,$AC24*Прайс!$D$111)</f>
        <v>0</v>
      </c>
      <c r="AE24" s="197" t="str">
        <f>IF(Бланк!AE41="","",Бланк!AE41)</f>
        <v/>
      </c>
      <c r="AF24" s="197" t="str">
        <f>IF(Бланк!AF41="","",Бланк!AF41)</f>
        <v/>
      </c>
      <c r="AG24" s="197" t="str">
        <f>IF(Бланк!AG41="","",Бланк!AG41)</f>
        <v/>
      </c>
      <c r="AH24" s="197" t="str">
        <f>IF(Бланк!AH41="","",Бланк!AH41)</f>
        <v/>
      </c>
      <c r="AI24" s="139">
        <f>IF(Бланк!$AI41="","",Бланк!$AI41)</f>
        <v>0</v>
      </c>
      <c r="AJ24" s="198"/>
      <c r="AK24" s="198"/>
      <c r="AL24" s="198"/>
      <c r="AM24" s="199"/>
      <c r="AN24" s="199"/>
      <c r="AO24" s="199"/>
      <c r="AP24" s="199"/>
      <c r="AQ24" s="200"/>
      <c r="AR24" s="190"/>
    </row>
    <row r="25" spans="2:44" s="202" customFormat="1" ht="21" customHeight="1" x14ac:dyDescent="0.3">
      <c r="B25" s="201">
        <v>22</v>
      </c>
      <c r="C25" s="192" t="str">
        <f>IF(Бланк!$C42="","",Бланк!$C42/1000)</f>
        <v/>
      </c>
      <c r="D25" s="192" t="str">
        <f>IF(Бланк!$D42="","",Бланк!$D42/1000)</f>
        <v/>
      </c>
      <c r="E25" s="192" t="str">
        <f>IF(Бланк!$E42="","",Бланк!$E42)</f>
        <v/>
      </c>
      <c r="F25" s="192" t="str">
        <f>IF(Бланк!$F42="","",Бланк!$F42)</f>
        <v/>
      </c>
      <c r="G25" s="192" t="str">
        <f>IF(Бланк!$G42="","",Бланк!$G42)</f>
        <v/>
      </c>
      <c r="H25" s="193" t="str">
        <f>IF($G25="","",VLOOKUP($G25,Наименование!$M$42:$N$95,2,FALSE))</f>
        <v/>
      </c>
      <c r="I25" s="192" t="str">
        <f>IF(Бланк!$H42="","",Бланк!$H42)</f>
        <v/>
      </c>
      <c r="J25" s="192" t="str">
        <f>IF(Бланк!$I42="","",Бланк!$I42)</f>
        <v/>
      </c>
      <c r="K25" s="194" t="str">
        <f>IF(OR($J25="",$J25=0),"",IF($J25="Пряма з чвертю",(Прайс!$D$106+Прайс!$D$109)*Просчет!$E25,IF($J25="Пряма без чверті",Прайс!$D$106*Просчет!$E25,IF(AND($J25="Шпрос з чвертю",OR($C25&lt;1,$C25=1)),(Прайс!$D$37+Прайс!$D$40)*Просчет!$E25,IF(AND($J25="Шпрос з чвертю",$C25&gt;1),(Прайс!$F$37+Прайс!$D$40)*Просчет!$E25,IF(AND($J25="Шпрос без чверті",OR($C25&lt;1,$C25=1)),Прайс!$D$37*Просчет!$E25,IF(AND($J25="Шпрос без чверті",$C25&gt;1),Прайс!$F$37*Просчет!$E25,"")))))))</f>
        <v/>
      </c>
      <c r="L25" s="192" t="str">
        <f>IF(Бланк!$J42="","",Бланк!$J42/1000)</f>
        <v/>
      </c>
      <c r="M25" s="192" t="str">
        <f>IF(Бланк!$K42="","",Бланк!$K42)</f>
        <v/>
      </c>
      <c r="N25" s="195">
        <f t="shared" si="0"/>
        <v>0</v>
      </c>
      <c r="O25" s="194">
        <f>IF($G25="гладкий",IF($M25="","",IF(OR($M25="J № 1",$M25="J № 2",$M25="J № 2L",$M25="J № 2R",$M25="AJ № 2",$M25="AJ № 2L",$M25="AJ № 2R",$M25="U",$M25="V"),$N25*Прайс!$D$43,IF(OR($M25="AJ № 3R",$M25="AJ № 4R",$M25="AJ № 5R",$M25="AJ № 3L",$M25="AJ № 4L",$M25="AJ № 5L",$M25="AJ № 3",$M25="AJ № 4",$M25="AJ № 5",$M25="J № 3",$M25="J № 4",$M25="J № 5",$M25="J № 6",$M25="J № 7",$M25="L",$M25="AL"),Прайс!$D$43*$E25,IF(OR($M25="J № 3L",$M25="J № 3R",$M25="J № 4L",$M25="J № 4R",$M25="J № 5L",$M25="J № 5R"),$N25/2*Прайс!$D$47*$E25,IF($M25="45 град.",$N25*Прайс!$D$42,0))))),0)</f>
        <v>0</v>
      </c>
      <c r="P25" s="192" t="str">
        <f>IF(Бланк!$L42="","",Бланк!$L42)</f>
        <v/>
      </c>
      <c r="Q25" s="192" t="str">
        <f>IF(Бланк!$M42="","",Бланк!$M42)</f>
        <v/>
      </c>
      <c r="R25" s="194">
        <f>IF($P25="",0,IF($Q25=$U25,0,IF($Q25="",0,IF(OR($G25=35,$G25=36,$G25=37,$G25=38),Прайс!$D$118*Бланк!E42,IF(AND($G25="гладкий",OR($M25="J № 1",$M25="J № 2",$M25="J № 2L",$M25="J № 2R")),$N25*Прайс!$D$59,0)))))</f>
        <v>0</v>
      </c>
      <c r="S25" s="192" t="str">
        <f>IF(OR(Бланк!$O42=0,Бланк!$O42=""),"",1)</f>
        <v/>
      </c>
      <c r="T25" s="192" t="str">
        <f>IF(Бланк!$R42="","",Бланк!$R42)</f>
        <v/>
      </c>
      <c r="U25" s="192" t="str">
        <f>IF(Бланк!$S42="","",Бланк!$S42)</f>
        <v/>
      </c>
      <c r="V25" s="192" t="str">
        <f>IF(Бланк!$T42="","",Бланк!$T42)</f>
        <v/>
      </c>
      <c r="W25" s="196" t="str">
        <f>IF(Бланк!$W42="","",Бланк!$W42)</f>
        <v/>
      </c>
      <c r="X25" s="197" t="str">
        <f>IF(Бланк!AB42="","",Бланк!AB42)</f>
        <v/>
      </c>
      <c r="Y25" s="197" t="str">
        <f>IF(Бланк!AC42="","",Бланк!AC42)</f>
        <v/>
      </c>
      <c r="Z25" s="195">
        <f>IF($G25="Гладкий",IF(OR($C25=0,$C25=""),0,IF(AND(OR($V25="Перли",$V25="Металік",$V25="Перл.зол.",$V25="Перл.ср.",$V25="Перл.зол.",$V25="Зор.н.ср.",$V25="Зор.н.зол.",$V25="Зор.н.різн.",$V25="Гума"),OR($F25=4,$F25=6,$F25=8,$F25=10,$F25=16)),$AI25*Прайс!$D$12,IF(AND(OR($V25="",$V25=0),$X25="Матове",OR($F25=4,$F25=6,$F25=8,$F25=10,$F25=16)),$AI25*Прайс!$D$10,IF(AND(OR($V25="",$V25=0),$X25="Глянець",OR($F25=4,$F25=6,$F25=8,$F25=10,$F25=16)),$AI25*Прайс!$D$11,IF(AND(OR($V25="",$V25=0),$X25="Софт(TS)",OR($F25=4,$F25=6,$F25=8,$F25=10,$F25=16)),$AI25*Прайс!#REF!,0))))),0)+IF($G25="Гладкий",0,IF(AND(OR($V25="Перли",$V25="Металік",$V25="Перл.зол.",$V25="Перл.ср.",$V25="Перл.зол.",$V25="Зор.н.ср.",$V25="Зор.н.зол.",$V25="Зор.н.різн.",$V25="Гума"),OR($F25=4,$F25=6,$F25=8,$F25=10,$F25=16),$H25=1),Просчет!$AI25*Прайс!$D$76,IF(AND(OR($V25="",$V25=0),$X25="Матове",OR($F25=4,$F25=6,$F25=8,$F25=10,$F25=16),$H25=1),Просчет!$AI25*Прайс!$D$73,IF(AND(OR($V25="",$V25=0),$X25="Глянець",OR($F25=4,$F25=6,$F25=8,$F25=10,$F25=16),$H25=1),Просчет!$AI25*Прайс!$D$75,IF(AND(OR($V25="",$V25=0),$G25="Софт(TS)",OR($F25=4,$F25=6,$F25=8,$F25=10,$F25=16),$H25=1),$AI25*Прайс!$D$74,IF(AND(OR($V25="",$V25=0),$X25="Матове покриття з патиною",OR($F25=4,$F25=6,$F25=8,$F25=10,$F25=16),$H25=1),$AI25*Прайс!$D$77,IF(AND(OR($V25="",$V25=0),$X25="Глянцеве покриття з патиною",OR($F25=4,$F25=6,$F25=8,$F25=10,$F25=16),$H25=1),$AI25*Прайс!$D$78,IF(AND(OR($V25="",$V25=0),$X25="Матовий DECAPE",OR($F25=4,$F25=6,$F25=8,$F25=10,$F25=16),$H25=1),$AI25*Прайс!$D$79,IF(AND(OR($V25="",$V25=0),$X25="Глянцевий DECAPE",OR($F25=4,$F25=6,$F25=8,$F25=10,$F25=16),$H25=1),$AI25*Прайс!$D$80,0)))))))))+IF($G25="Гладкий",0,IF(AND(OR($V25="Перли",$V25="Металік",$V25="Перл.зол.",$V25="Перл.ср.",$V25="Перл.зол.",$V25="Зор.н.ср.",$V25="Зор.н.зол.",$V25="Зор.н.різн.",$V25="Гума"),OR($F25=4,$F25=6,$F25=8,$F25=10,$F25=16),$H25=2),$AI25*Прайс!$E$76,IF(AND(OR($V25="",$V25=0),$X25="Матове",OR($F25=4,$F25=6,$F25=8,$F25=10,$F25=16),$H25=2),Просчет!$AI25*Прайс!$E$73,IF(AND(OR($V25="",$V25=0),$X25="Глянець",OR($F25=4,$F25=6,$F25=8,$F25=10,$F25=16),$H25=2),$AI25*Прайс!$E$75,IF(AND(OR($V25="",$V25=0),$X25="Софт(TS)",OR($F25=4,$F25=6,$F25=8,$F25=10,$F25=16),$H25=2),$AI25*Прайс!$E$74,IF(AND(OR($V25="",$V25=0),$X25="Матове покриття з патиною",OR($F25=4,$F25=6,$F25=8,$F25=10,$F25=16),$H25=2),$AI25*Прайс!$E$77,IF(AND(OR($V25="",$V25=0),$X25="Глянцеве покриття з патиною",OR($F25=4,$F25=6,$F25=8,$F25=10,$F25=16),$H25=2),$AI25*Прайс!$E$78,IF(AND(OR($V25="",$V25=0),$X25="Матовий DECAPE",OR($F25=4,$F25=6,$F25=8,$F25=10,$F25=16),$H25=2),$AI25*Прайс!$E$79,IF(AND(OR($V25="",$V25=0),$X25="Глянцевий DECAPE",OR($F25=4,$F25=6,$F25=8,$F25=10,$F25=16),$H25=2),$AI25*Прайс!$E$80,0)))))))))+IF(AND($S25=1,OR($H25=1,$H25=0),$X25=Наименование!$L$12,OR($F25=4,$F25=6,$F25=8,$F25=10,$F25=16)),$AI25*Прайс!$D$89,IF(AND($S25=1,OR($H25=1,$H25=0),$X25=Наименование!$L$13,OR($F25=4,$F25=6,$F25=8,$F25=10,$F25=16)),$AI25*Прайс!$D$90,IF(AND($S25=1,OR($H25=1,$H25=0),$X25=Наименование!$L45,OR($F25=4,$F25=6,$F25=8,$F25=10,$F25=16)),$AI25*Прайс!$D$91,IF(AND($S25=1,OR($H25=1,$H25=0),$X25=Наименование!$L$15,OR($F25=4,$F25=6,$F25=8,$F25=10,$F25=16)),$AI25*Прайс!$D$92,0))))+IF(AND($S25=1,$H25=2,$X25=Наименование!$L$12,OR($F25=4,$F25=6,$F25=8,$F25=10,$F25=16)),$AI25*Прайс!$E$89,IF(AND($S25=1,$H25=2,$X25=Наименование!$L$13,OR($F25=4,$F25=6,$F25=8,$F25=10,$F25=16)),$AI25*Прайс!$E$90,IF(AND($S25=1,$H25=2,$X25=Наименование!$L$14,OR($F25=4,$F25=6,$F25=8,$F25=10,$F25=16)),$AI25*Прайс!$E$91,IF(AND($S25=1,$H25=2,$X25=Наименование!$L$15,OR($F25=4,$F25=6,$F25=8,$F25=10,$F25=16)),$AI25*Прайс!$E$92))))</f>
        <v>0</v>
      </c>
      <c r="AA25" s="195">
        <f>IF($G25="Гладкий",IF(OR($C25=0,$C25=""),0,IF(AND(OR($V25="Перли",$V25="Металік",$V25="Перл.зол.",$V25="Перл.ср.",$V25="Перл.зол.",$V25="Зор.н.ср.",$V25="Зор.н.зол.",$V25="Зор.н.різн.",$V25="Гума"),$F25=19),$AI25*Прайс!$E$12,IF(AND(OR($V25="",$V25=0),$X25="Матове",$F25=19),$AI25*Прайс!$E$10,IF(AND(OR($V25="",$V25=0),$X25="Глянець",$F25=19),$AI25*Прайс!$E$11,IF(AND(OR($V25="",$V25=0),$X25="Софт(TS)",$F25=19),$AI25*Прайс!#REF!,0))))),0)+IF($G25="Гладкий",0,IF(AND(OR($V25="Перли",$V25="Металік",$V25="Перл.зол.",$V25="Перл.ср.",$V25="Перл.зол.",$V25="Зор.н.ср.",$V25="Зор.н.зол.",$V25="Зор.н.різн.",$V25="Гума"),$F25=19,$H25=1),Просчет!$AI25*Прайс!$F$76,IF(AND(OR($V25="",$V25=0),$X25="Матове",$F25=19,$H25=1),Просчет!$AI25*Прайс!$F$73,IF(AND(OR($V25="",$V25=0),$X25="Глянець",$F25=19,$H25=1),Просчет!$AI25*Прайс!$F$75,IF(AND(OR($V25="",$V25=0),$G25="Софт(TS)",$F25=19,$H25=1),$AI25*Прайс!$F$74,IF(AND(OR($V25="",$V25=0),$X25="Матове покриття з патиною",$F25=19,$H25=1),$AI25*Прайс!$F$77,IF(AND(OR($V25="",$V25=0),$X25="Глянцеве покриття з патиною",$F25=19,$H25=1),$AI25*Прайс!$F$78,IF(AND(OR($V25="",$V25=0),$X25="Матовий DECAPE",$F25=19,$H25=1),$AI25*Прайс!$F$79,IF(AND(OR($V25="",$V25=0),$X25="Глянцевий DECAPE",$F25=19,$H25=1),$AI25*Прайс!$F$80,0)))))))))+IF($G25="Гладкий",0,IF(AND(OR($V25="Перли",$V25="Металік",$V25="Перл.зол.",$V25="Перл.ср.",$V25="Перл.зол.",$V25="Зор.н.ср.",$V25="Зор.н.зол.",$V25="Зор.н.різн.",$V25="Гума"),$F25=19,$H25=2),$AI25*Прайс!$G$76,IF(AND(OR($V25="",$V25=0),$X25="Матове",$F25=19,$H25=2),Просчет!$AI25*Прайс!$G$73,IF(AND(OR($V25="",$V25=0),$X25="Глянець",$F25=19,$H25=2),$AI25*Прайс!$G$75,IF(AND(OR($V25="",$V25=0),$X25="Софт(TS)",$F25=19,$H25=2),$AI25*Прайс!$G$74,IF(AND(OR($V25="",$V25=0),$X25="Матове покриття з патиною",$F25=19,$H25=2),$AI25*Прайс!$G$77,IF(AND(OR($V25="",$V25=0),$X25="Глянцеве покриття з патиною",$F25=19,$H25=2),$AI25*Прайс!$G$78,IF(AND(OR($V25="",$V25=0),$X25="Матовий DECAPE",$F25=19,$H25=2),$AI25*Прайс!$G$79,IF(AND(OR($V25="",$V25=0),$X25="Глянцевий DECAPE",$F25=19,$H25=2),$AI25*Прайс!$G$78,0)))))))))+IF(AND($S25=1,OR($H25=1,$H25=0),$X25=Наименование!$L$12,$F25=19),$AI25*Прайс!$F$89,IF(AND($S25=1,OR($H25=1,$H25=0),$X25=Наименование!$L$13,$F25=19),$AI25*Прайс!$F$90,IF(AND($S25=1,OR($H25=1,$H25=0),$X25=Наименование!$L45,$F25=19),$AI25*Прайс!$F$91,IF(AND($S25=1,OR($H25=1,$H25=0),$X25=Наименование!$L$15,$F25=19),$AI25*Прайс!$F$92,0))))+IF(AND($S25=1,$H25=2,$X25=Наименование!$L$12,$F25=19),$AI25*Прайс!$G$89,IF(AND($S25=1,$H25=2,$X25=Наименование!$L$13,$F25=19),$AI25*Прайс!$G$90,IF(AND($S25=1,$H25=2,$X25=Наименование!$L$14,$F25=19),$AI25*Прайс!$G$91,IF(AND($S25=1,$H25=2,$X25=Наименование!$L$15,$F25=19),$AI25*Прайс!$G$92))))</f>
        <v>0</v>
      </c>
      <c r="AB25" s="195">
        <f>IF($G25="Гладкий",IF(OR($C25=0,$C25=""),0,IF($Y25="Матове",$AI25*(Прайс!$D$10-500),IF($Y25="Глянець",$AI25*(Прайс!$D$11-500),IF($Y25="Софт(TS)",$AI25*(Прайс!#REF!-500),0)))),0)+IF($G25="Гладкий",0,IF(AND($Y25="Матове",$H25=1),$AI25*Прайс!$D$73*0.5,IF(AND($Y25="Глянець",$H25=1),$AI25*Прайс!$D$75*0.5,IF(AND($Y25="Софт(TS)",$H25=1),$AI25*Прайс!$D$74*0.5,IF(AND($Y25="Матове покриття з патиною",$H25=1),$AI25*Прайс!$D$77*0.5,IF(AND($Y25="Глянцеве покриття з патиною",$H25=1),$AI25*Прайс!$D$78*0.5,IF(AND($Y25="Матовий DECAPE",$H25=1),$AI25*Прайс!$D$79*0.5,IF(AND($Y25="Глянцевий DECAPE",$H25=1),$AI25*Прайс!$D$80*0.5,0))))))))+IF($G25="Гладкий",0,IF(AND($Y25="Матове",$H25=2),$AI25*Прайс!$E$73*0.5,IF(AND($Y25="Глянець",$H25=2),$AI25*Прайс!$E$75*0.5,IF(AND($Y25="Софт(TS)",$H25=2),$AI25*Прайс!$E$74*0.5,IF(AND($Y25="Матове покриття з патиною",$H25=2),$AI25*Прайс!$E$77*0.5,IF(AND($Y25="Глянцеве покриття з патиною",$H25=2),$AI25*Прайс!$E$78*0.5,IF(AND($Y25="Матовий DECAPE",$H25=2),$AI25*Прайс!$E$79*0.5,IF(AND($Y25="Глянцевий DECAPE",$H25=2),$AI25*Прайс!$E$80*0.5,0)))))))+IF(AND($S25=1,OR($H25=1,$H25=0),$Y25=Прайс!$C$89),$AI25*[1]Прайс!$D$74*0.5,IF(AND($S25=1,OR($H25=1,$H25=0),$Y25=Прайс!$C$90),$AI25*Прайс!$D$90*0.5,IF(AND($S25=1,OR($H25=1,$H25=0),$Y25=Прайс!$C$91),$AI25*Прайс!$D$91*0.5,IF(AND($S25=1,OR($H25=1,$H25=0),$Y25=Прайс!$C$92),$AI25*Прайс!$D$92*0.5,0))))+IF(AND($S25=1,$H25=2,$Y25=Прайс!$C$89),$AI25*Прайс!$E$89*0.5,IF(AND($S25=1,$H25=2,$Y25=Прайс!$C$90),$AI25*Прайс!$E$90*0.5,IF(AND($S25=1,$H25=2,$Y25=Прайс!$C$91),$AI25*Прайс!$E$91*0.5,IF(AND($S25=1,$H25=2,$Y25=Прайс!$C$92),$AI25*Прайс!$E$92*0.5,0)))))</f>
        <v>0</v>
      </c>
      <c r="AC25" s="197" t="str">
        <f>IF(Бланк!AD42="","",Бланк!AD42*E25)</f>
        <v/>
      </c>
      <c r="AD25" s="195">
        <f>IF(OR($AC25=0,$AC25=""),0,$AC25*Прайс!$D$111)</f>
        <v>0</v>
      </c>
      <c r="AE25" s="197" t="str">
        <f>IF(Бланк!AE42="","",Бланк!AE42)</f>
        <v/>
      </c>
      <c r="AF25" s="197" t="str">
        <f>IF(Бланк!AF42="","",Бланк!AF42)</f>
        <v/>
      </c>
      <c r="AG25" s="197" t="str">
        <f>IF(Бланк!AG42="","",Бланк!AG42)</f>
        <v/>
      </c>
      <c r="AH25" s="197" t="str">
        <f>IF(Бланк!AH42="","",Бланк!AH42)</f>
        <v/>
      </c>
      <c r="AI25" s="139">
        <f>IF(Бланк!$AI42="","",Бланк!$AI42)</f>
        <v>0</v>
      </c>
      <c r="AJ25" s="198"/>
      <c r="AK25" s="198"/>
      <c r="AL25" s="198"/>
      <c r="AM25" s="199"/>
      <c r="AN25" s="199"/>
      <c r="AO25" s="199"/>
      <c r="AP25" s="199"/>
      <c r="AQ25" s="200"/>
      <c r="AR25" s="190"/>
    </row>
    <row r="26" spans="2:44" s="202" customFormat="1" ht="21" customHeight="1" x14ac:dyDescent="0.3">
      <c r="B26" s="201">
        <v>23</v>
      </c>
      <c r="C26" s="192" t="str">
        <f>IF(Бланк!$C43="","",Бланк!$C43/1000)</f>
        <v/>
      </c>
      <c r="D26" s="192" t="str">
        <f>IF(Бланк!$D43="","",Бланк!$D43/1000)</f>
        <v/>
      </c>
      <c r="E26" s="192" t="str">
        <f>IF(Бланк!$E43="","",Бланк!$E43)</f>
        <v/>
      </c>
      <c r="F26" s="192" t="str">
        <f>IF(Бланк!$F43="","",Бланк!$F43)</f>
        <v/>
      </c>
      <c r="G26" s="192" t="str">
        <f>IF(Бланк!$G43="","",Бланк!$G43)</f>
        <v/>
      </c>
      <c r="H26" s="193" t="str">
        <f>IF($G26="","",VLOOKUP($G26,Наименование!$M$42:$N$95,2,FALSE))</f>
        <v/>
      </c>
      <c r="I26" s="192" t="str">
        <f>IF(Бланк!$H43="","",Бланк!$H43)</f>
        <v/>
      </c>
      <c r="J26" s="192" t="str">
        <f>IF(Бланк!$I43="","",Бланк!$I43)</f>
        <v/>
      </c>
      <c r="K26" s="194" t="str">
        <f>IF(OR($J26="",$J26=0),"",IF($J26="Пряма з чвертю",(Прайс!$D$106+Прайс!$D$109)*Просчет!$E26,IF($J26="Пряма без чверті",Прайс!$D$106*Просчет!$E26,IF(AND($J26="Шпрос з чвертю",OR($C26&lt;1,$C26=1)),(Прайс!$D$37+Прайс!$D$40)*Просчет!$E26,IF(AND($J26="Шпрос з чвертю",$C26&gt;1),(Прайс!$F$37+Прайс!$D$40)*Просчет!$E26,IF(AND($J26="Шпрос без чверті",OR($C26&lt;1,$C26=1)),Прайс!$D$37*Просчет!$E26,IF(AND($J26="Шпрос без чверті",$C26&gt;1),Прайс!$F$37*Просчет!$E26,"")))))))</f>
        <v/>
      </c>
      <c r="L26" s="192" t="str">
        <f>IF(Бланк!$J43="","",Бланк!$J43/1000)</f>
        <v/>
      </c>
      <c r="M26" s="192" t="str">
        <f>IF(Бланк!$K43="","",Бланк!$K43)</f>
        <v/>
      </c>
      <c r="N26" s="195">
        <f t="shared" si="0"/>
        <v>0</v>
      </c>
      <c r="O26" s="194">
        <f>IF($G26="гладкий",IF($M26="","",IF(OR($M26="J № 1",$M26="J № 2",$M26="J № 2L",$M26="J № 2R",$M26="AJ № 2",$M26="AJ № 2L",$M26="AJ № 2R",$M26="U",$M26="V"),$N26*Прайс!$D$43,IF(OR($M26="AJ № 3R",$M26="AJ № 4R",$M26="AJ № 5R",$M26="AJ № 3L",$M26="AJ № 4L",$M26="AJ № 5L",$M26="AJ № 3",$M26="AJ № 4",$M26="AJ № 5",$M26="J № 3",$M26="J № 4",$M26="J № 5",$M26="J № 6",$M26="J № 7",$M26="L",$M26="AL"),Прайс!$D$43*$E26,IF(OR($M26="J № 3L",$M26="J № 3R",$M26="J № 4L",$M26="J № 4R",$M26="J № 5L",$M26="J № 5R"),$N26/2*Прайс!$D$47*$E26,IF($M26="45 град.",$N26*Прайс!$D$42,0))))),0)</f>
        <v>0</v>
      </c>
      <c r="P26" s="192" t="str">
        <f>IF(Бланк!$L43="","",Бланк!$L43)</f>
        <v/>
      </c>
      <c r="Q26" s="192" t="str">
        <f>IF(Бланк!$M43="","",Бланк!$M43)</f>
        <v/>
      </c>
      <c r="R26" s="194">
        <f>IF($P26="",0,IF($Q26=$U26,0,IF($Q26="",0,IF(OR($G26=35,$G26=36,$G26=37,$G26=38),Прайс!$D$118*Бланк!E43,IF(AND($G26="гладкий",OR($M26="J № 1",$M26="J № 2",$M26="J № 2L",$M26="J № 2R")),$N26*Прайс!$D$59,0)))))</f>
        <v>0</v>
      </c>
      <c r="S26" s="192" t="str">
        <f>IF(OR(Бланк!$O43=0,Бланк!$O43=""),"",1)</f>
        <v/>
      </c>
      <c r="T26" s="192" t="str">
        <f>IF(Бланк!$R43="","",Бланк!$R43)</f>
        <v/>
      </c>
      <c r="U26" s="192" t="str">
        <f>IF(Бланк!$S43="","",Бланк!$S43)</f>
        <v/>
      </c>
      <c r="V26" s="192" t="str">
        <f>IF(Бланк!$T43="","",Бланк!$T43)</f>
        <v/>
      </c>
      <c r="W26" s="196" t="str">
        <f>IF(Бланк!$W43="","",Бланк!$W43)</f>
        <v/>
      </c>
      <c r="X26" s="197" t="str">
        <f>IF(Бланк!AB43="","",Бланк!AB43)</f>
        <v/>
      </c>
      <c r="Y26" s="197" t="str">
        <f>IF(Бланк!AC43="","",Бланк!AC43)</f>
        <v/>
      </c>
      <c r="Z26" s="195">
        <f>IF($G26="Гладкий",IF(OR($C26=0,$C26=""),0,IF(AND(OR($V26="Перли",$V26="Металік",$V26="Перл.зол.",$V26="Перл.ср.",$V26="Перл.зол.",$V26="Зор.н.ср.",$V26="Зор.н.зол.",$V26="Зор.н.різн.",$V26="Гума"),OR($F26=4,$F26=6,$F26=8,$F26=10,$F26=16)),$AI26*Прайс!$D$12,IF(AND(OR($V26="",$V26=0),$X26="Матове",OR($F26=4,$F26=6,$F26=8,$F26=10,$F26=16)),$AI26*Прайс!$D$10,IF(AND(OR($V26="",$V26=0),$X26="Глянець",OR($F26=4,$F26=6,$F26=8,$F26=10,$F26=16)),$AI26*Прайс!$D$11,IF(AND(OR($V26="",$V26=0),$X26="Софт(TS)",OR($F26=4,$F26=6,$F26=8,$F26=10,$F26=16)),$AI26*Прайс!#REF!,0))))),0)+IF($G26="Гладкий",0,IF(AND(OR($V26="Перли",$V26="Металік",$V26="Перл.зол.",$V26="Перл.ср.",$V26="Перл.зол.",$V26="Зор.н.ср.",$V26="Зор.н.зол.",$V26="Зор.н.різн.",$V26="Гума"),OR($F26=4,$F26=6,$F26=8,$F26=10,$F26=16),$H26=1),Просчет!$AI26*Прайс!$D$76,IF(AND(OR($V26="",$V26=0),$X26="Матове",OR($F26=4,$F26=6,$F26=8,$F26=10,$F26=16),$H26=1),Просчет!$AI26*Прайс!$D$73,IF(AND(OR($V26="",$V26=0),$X26="Глянець",OR($F26=4,$F26=6,$F26=8,$F26=10,$F26=16),$H26=1),Просчет!$AI26*Прайс!$D$75,IF(AND(OR($V26="",$V26=0),$G26="Софт(TS)",OR($F26=4,$F26=6,$F26=8,$F26=10,$F26=16),$H26=1),$AI26*Прайс!$D$74,IF(AND(OR($V26="",$V26=0),$X26="Матове покриття з патиною",OR($F26=4,$F26=6,$F26=8,$F26=10,$F26=16),$H26=1),$AI26*Прайс!$D$77,IF(AND(OR($V26="",$V26=0),$X26="Глянцеве покриття з патиною",OR($F26=4,$F26=6,$F26=8,$F26=10,$F26=16),$H26=1),$AI26*Прайс!$D$78,IF(AND(OR($V26="",$V26=0),$X26="Матовий DECAPE",OR($F26=4,$F26=6,$F26=8,$F26=10,$F26=16),$H26=1),$AI26*Прайс!$D$79,IF(AND(OR($V26="",$V26=0),$X26="Глянцевий DECAPE",OR($F26=4,$F26=6,$F26=8,$F26=10,$F26=16),$H26=1),$AI26*Прайс!$D$80,0)))))))))+IF($G26="Гладкий",0,IF(AND(OR($V26="Перли",$V26="Металік",$V26="Перл.зол.",$V26="Перл.ср.",$V26="Перл.зол.",$V26="Зор.н.ср.",$V26="Зор.н.зол.",$V26="Зор.н.різн.",$V26="Гума"),OR($F26=4,$F26=6,$F26=8,$F26=10,$F26=16),$H26=2),$AI26*Прайс!$E$76,IF(AND(OR($V26="",$V26=0),$X26="Матове",OR($F26=4,$F26=6,$F26=8,$F26=10,$F26=16),$H26=2),Просчет!$AI26*Прайс!$E$73,IF(AND(OR($V26="",$V26=0),$X26="Глянець",OR($F26=4,$F26=6,$F26=8,$F26=10,$F26=16),$H26=2),$AI26*Прайс!$E$75,IF(AND(OR($V26="",$V26=0),$X26="Софт(TS)",OR($F26=4,$F26=6,$F26=8,$F26=10,$F26=16),$H26=2),$AI26*Прайс!$E$74,IF(AND(OR($V26="",$V26=0),$X26="Матове покриття з патиною",OR($F26=4,$F26=6,$F26=8,$F26=10,$F26=16),$H26=2),$AI26*Прайс!$E$77,IF(AND(OR($V26="",$V26=0),$X26="Глянцеве покриття з патиною",OR($F26=4,$F26=6,$F26=8,$F26=10,$F26=16),$H26=2),$AI26*Прайс!$E$78,IF(AND(OR($V26="",$V26=0),$X26="Матовий DECAPE",OR($F26=4,$F26=6,$F26=8,$F26=10,$F26=16),$H26=2),$AI26*Прайс!$E$79,IF(AND(OR($V26="",$V26=0),$X26="Глянцевий DECAPE",OR($F26=4,$F26=6,$F26=8,$F26=10,$F26=16),$H26=2),$AI26*Прайс!$E$80,0)))))))))+IF(AND($S26=1,OR($H26=1,$H26=0),$X26=Наименование!$L$12,OR($F26=4,$F26=6,$F26=8,$F26=10,$F26=16)),$AI26*Прайс!$D$89,IF(AND($S26=1,OR($H26=1,$H26=0),$X26=Наименование!$L$13,OR($F26=4,$F26=6,$F26=8,$F26=10,$F26=16)),$AI26*Прайс!$D$90,IF(AND($S26=1,OR($H26=1,$H26=0),$X26=Наименование!$L46,OR($F26=4,$F26=6,$F26=8,$F26=10,$F26=16)),$AI26*Прайс!$D$91,IF(AND($S26=1,OR($H26=1,$H26=0),$X26=Наименование!$L$15,OR($F26=4,$F26=6,$F26=8,$F26=10,$F26=16)),$AI26*Прайс!$D$92,0))))+IF(AND($S26=1,$H26=2,$X26=Наименование!$L$12,OR($F26=4,$F26=6,$F26=8,$F26=10,$F26=16)),$AI26*Прайс!$E$89,IF(AND($S26=1,$H26=2,$X26=Наименование!$L$13,OR($F26=4,$F26=6,$F26=8,$F26=10,$F26=16)),$AI26*Прайс!$E$90,IF(AND($S26=1,$H26=2,$X26=Наименование!$L$14,OR($F26=4,$F26=6,$F26=8,$F26=10,$F26=16)),$AI26*Прайс!$E$91,IF(AND($S26=1,$H26=2,$X26=Наименование!$L$15,OR($F26=4,$F26=6,$F26=8,$F26=10,$F26=16)),$AI26*Прайс!$E$92))))</f>
        <v>0</v>
      </c>
      <c r="AA26" s="195">
        <f>IF($G26="Гладкий",IF(OR($C26=0,$C26=""),0,IF(AND(OR($V26="Перли",$V26="Металік",$V26="Перл.зол.",$V26="Перл.ср.",$V26="Перл.зол.",$V26="Зор.н.ср.",$V26="Зор.н.зол.",$V26="Зор.н.різн.",$V26="Гума"),$F26=19),$AI26*Прайс!$E$12,IF(AND(OR($V26="",$V26=0),$X26="Матове",$F26=19),$AI26*Прайс!$E$10,IF(AND(OR($V26="",$V26=0),$X26="Глянець",$F26=19),$AI26*Прайс!$E$11,IF(AND(OR($V26="",$V26=0),$X26="Софт(TS)",$F26=19),$AI26*Прайс!#REF!,0))))),0)+IF($G26="Гладкий",0,IF(AND(OR($V26="Перли",$V26="Металік",$V26="Перл.зол.",$V26="Перл.ср.",$V26="Перл.зол.",$V26="Зор.н.ср.",$V26="Зор.н.зол.",$V26="Зор.н.різн.",$V26="Гума"),$F26=19,$H26=1),Просчет!$AI26*Прайс!$F$76,IF(AND(OR($V26="",$V26=0),$X26="Матове",$F26=19,$H26=1),Просчет!$AI26*Прайс!$F$73,IF(AND(OR($V26="",$V26=0),$X26="Глянець",$F26=19,$H26=1),Просчет!$AI26*Прайс!$F$75,IF(AND(OR($V26="",$V26=0),$G26="Софт(TS)",$F26=19,$H26=1),$AI26*Прайс!$F$74,IF(AND(OR($V26="",$V26=0),$X26="Матове покриття з патиною",$F26=19,$H26=1),$AI26*Прайс!$F$77,IF(AND(OR($V26="",$V26=0),$X26="Глянцеве покриття з патиною",$F26=19,$H26=1),$AI26*Прайс!$F$78,IF(AND(OR($V26="",$V26=0),$X26="Матовий DECAPE",$F26=19,$H26=1),$AI26*Прайс!$F$79,IF(AND(OR($V26="",$V26=0),$X26="Глянцевий DECAPE",$F26=19,$H26=1),$AI26*Прайс!$F$80,0)))))))))+IF($G26="Гладкий",0,IF(AND(OR($V26="Перли",$V26="Металік",$V26="Перл.зол.",$V26="Перл.ср.",$V26="Перл.зол.",$V26="Зор.н.ср.",$V26="Зор.н.зол.",$V26="Зор.н.різн.",$V26="Гума"),$F26=19,$H26=2),$AI26*Прайс!$G$76,IF(AND(OR($V26="",$V26=0),$X26="Матове",$F26=19,$H26=2),Просчет!$AI26*Прайс!$G$73,IF(AND(OR($V26="",$V26=0),$X26="Глянець",$F26=19,$H26=2),$AI26*Прайс!$G$75,IF(AND(OR($V26="",$V26=0),$X26="Софт(TS)",$F26=19,$H26=2),$AI26*Прайс!$G$74,IF(AND(OR($V26="",$V26=0),$X26="Матове покриття з патиною",$F26=19,$H26=2),$AI26*Прайс!$G$77,IF(AND(OR($V26="",$V26=0),$X26="Глянцеве покриття з патиною",$F26=19,$H26=2),$AI26*Прайс!$G$78,IF(AND(OR($V26="",$V26=0),$X26="Матовий DECAPE",$F26=19,$H26=2),$AI26*Прайс!$G$79,IF(AND(OR($V26="",$V26=0),$X26="Глянцевий DECAPE",$F26=19,$H26=2),$AI26*Прайс!$G$78,0)))))))))+IF(AND($S26=1,OR($H26=1,$H26=0),$X26=Наименование!$L$12,$F26=19),$AI26*Прайс!$F$89,IF(AND($S26=1,OR($H26=1,$H26=0),$X26=Наименование!$L$13,$F26=19),$AI26*Прайс!$F$90,IF(AND($S26=1,OR($H26=1,$H26=0),$X26=Наименование!$L46,$F26=19),$AI26*Прайс!$F$91,IF(AND($S26=1,OR($H26=1,$H26=0),$X26=Наименование!$L$15,$F26=19),$AI26*Прайс!$F$92,0))))+IF(AND($S26=1,$H26=2,$X26=Наименование!$L$12,$F26=19),$AI26*Прайс!$G$89,IF(AND($S26=1,$H26=2,$X26=Наименование!$L$13,$F26=19),$AI26*Прайс!$G$90,IF(AND($S26=1,$H26=2,$X26=Наименование!$L$14,$F26=19),$AI26*Прайс!$G$91,IF(AND($S26=1,$H26=2,$X26=Наименование!$L$15,$F26=19),$AI26*Прайс!$G$92))))</f>
        <v>0</v>
      </c>
      <c r="AB26" s="195">
        <f>IF($G26="Гладкий",IF(OR($C26=0,$C26=""),0,IF($Y26="Матове",$AI26*(Прайс!$D$10-500),IF($Y26="Глянець",$AI26*(Прайс!$D$11-500),IF($Y26="Софт(TS)",$AI26*(Прайс!#REF!-500),0)))),0)+IF($G26="Гладкий",0,IF(AND($Y26="Матове",$H26=1),$AI26*Прайс!$D$73*0.5,IF(AND($Y26="Глянець",$H26=1),$AI26*Прайс!$D$75*0.5,IF(AND($Y26="Софт(TS)",$H26=1),$AI26*Прайс!$D$74*0.5,IF(AND($Y26="Матове покриття з патиною",$H26=1),$AI26*Прайс!$D$77*0.5,IF(AND($Y26="Глянцеве покриття з патиною",$H26=1),$AI26*Прайс!$D$78*0.5,IF(AND($Y26="Матовий DECAPE",$H26=1),$AI26*Прайс!$D$79*0.5,IF(AND($Y26="Глянцевий DECAPE",$H26=1),$AI26*Прайс!$D$80*0.5,0))))))))+IF($G26="Гладкий",0,IF(AND($Y26="Матове",$H26=2),$AI26*Прайс!$E$73*0.5,IF(AND($Y26="Глянець",$H26=2),$AI26*Прайс!$E$75*0.5,IF(AND($Y26="Софт(TS)",$H26=2),$AI26*Прайс!$E$74*0.5,IF(AND($Y26="Матове покриття з патиною",$H26=2),$AI26*Прайс!$E$77*0.5,IF(AND($Y26="Глянцеве покриття з патиною",$H26=2),$AI26*Прайс!$E$78*0.5,IF(AND($Y26="Матовий DECAPE",$H26=2),$AI26*Прайс!$E$79*0.5,IF(AND($Y26="Глянцевий DECAPE",$H26=2),$AI26*Прайс!$E$80*0.5,0)))))))+IF(AND($S26=1,OR($H26=1,$H26=0),$Y26=Прайс!$C$89),$AI26*[1]Прайс!$D$74*0.5,IF(AND($S26=1,OR($H26=1,$H26=0),$Y26=Прайс!$C$90),$AI26*Прайс!$D$90*0.5,IF(AND($S26=1,OR($H26=1,$H26=0),$Y26=Прайс!$C$91),$AI26*Прайс!$D$91*0.5,IF(AND($S26=1,OR($H26=1,$H26=0),$Y26=Прайс!$C$92),$AI26*Прайс!$D$92*0.5,0))))+IF(AND($S26=1,$H26=2,$Y26=Прайс!$C$89),$AI26*Прайс!$E$89*0.5,IF(AND($S26=1,$H26=2,$Y26=Прайс!$C$90),$AI26*Прайс!$E$90*0.5,IF(AND($S26=1,$H26=2,$Y26=Прайс!$C$91),$AI26*Прайс!$E$91*0.5,IF(AND($S26=1,$H26=2,$Y26=Прайс!$C$92),$AI26*Прайс!$E$92*0.5,0)))))</f>
        <v>0</v>
      </c>
      <c r="AC26" s="197" t="str">
        <f>IF(Бланк!AD43="","",Бланк!AD43*E26)</f>
        <v/>
      </c>
      <c r="AD26" s="195">
        <f>IF(OR($AC26=0,$AC26=""),0,$AC26*Прайс!$D$111)</f>
        <v>0</v>
      </c>
      <c r="AE26" s="197" t="str">
        <f>IF(Бланк!AE43="","",Бланк!AE43)</f>
        <v/>
      </c>
      <c r="AF26" s="197" t="str">
        <f>IF(Бланк!AF43="","",Бланк!AF43)</f>
        <v/>
      </c>
      <c r="AG26" s="197" t="str">
        <f>IF(Бланк!AG43="","",Бланк!AG43)</f>
        <v/>
      </c>
      <c r="AH26" s="197" t="str">
        <f>IF(Бланк!AH43="","",Бланк!AH43)</f>
        <v/>
      </c>
      <c r="AI26" s="139">
        <f>IF(Бланк!$AI43="","",Бланк!$AI43)</f>
        <v>0</v>
      </c>
      <c r="AJ26" s="198"/>
      <c r="AK26" s="198"/>
      <c r="AL26" s="198"/>
      <c r="AM26" s="199"/>
      <c r="AN26" s="199"/>
      <c r="AO26" s="199"/>
      <c r="AP26" s="199"/>
      <c r="AQ26" s="200"/>
      <c r="AR26" s="190"/>
    </row>
    <row r="27" spans="2:44" s="202" customFormat="1" ht="21" customHeight="1" x14ac:dyDescent="0.3">
      <c r="B27" s="201">
        <v>24</v>
      </c>
      <c r="C27" s="192" t="str">
        <f>IF(Бланк!$C44="","",Бланк!$C44/1000)</f>
        <v/>
      </c>
      <c r="D27" s="192" t="str">
        <f>IF(Бланк!$D44="","",Бланк!$D44/1000)</f>
        <v/>
      </c>
      <c r="E27" s="192" t="str">
        <f>IF(Бланк!$E44="","",Бланк!$E44)</f>
        <v/>
      </c>
      <c r="F27" s="192" t="str">
        <f>IF(Бланк!$F44="","",Бланк!$F44)</f>
        <v/>
      </c>
      <c r="G27" s="192" t="str">
        <f>IF(Бланк!$G44="","",Бланк!$G44)</f>
        <v/>
      </c>
      <c r="H27" s="193" t="str">
        <f>IF($G27="","",VLOOKUP($G27,Наименование!$M$42:$N$95,2,FALSE))</f>
        <v/>
      </c>
      <c r="I27" s="192" t="str">
        <f>IF(Бланк!$H44="","",Бланк!$H44)</f>
        <v/>
      </c>
      <c r="J27" s="192" t="str">
        <f>IF(Бланк!$I44="","",Бланк!$I44)</f>
        <v/>
      </c>
      <c r="K27" s="194" t="str">
        <f>IF(OR($J27="",$J27=0),"",IF($J27="Пряма з чвертю",(Прайс!$D$106+Прайс!$D$109)*Просчет!$E27,IF($J27="Пряма без чверті",Прайс!$D$106*Просчет!$E27,IF(AND($J27="Шпрос з чвертю",OR($C27&lt;1,$C27=1)),(Прайс!$D$37+Прайс!$D$40)*Просчет!$E27,IF(AND($J27="Шпрос з чвертю",$C27&gt;1),(Прайс!$F$37+Прайс!$D$40)*Просчет!$E27,IF(AND($J27="Шпрос без чверті",OR($C27&lt;1,$C27=1)),Прайс!$D$37*Просчет!$E27,IF(AND($J27="Шпрос без чверті",$C27&gt;1),Прайс!$F$37*Просчет!$E27,"")))))))</f>
        <v/>
      </c>
      <c r="L27" s="192" t="str">
        <f>IF(Бланк!$J44="","",Бланк!$J44/1000)</f>
        <v/>
      </c>
      <c r="M27" s="192" t="str">
        <f>IF(Бланк!$K44="","",Бланк!$K44)</f>
        <v/>
      </c>
      <c r="N27" s="195">
        <f t="shared" si="0"/>
        <v>0</v>
      </c>
      <c r="O27" s="194">
        <f>IF($G27="гладкий",IF($M27="","",IF(OR($M27="J № 1",$M27="J № 2",$M27="J № 2L",$M27="J № 2R",$M27="AJ № 2",$M27="AJ № 2L",$M27="AJ № 2R",$M27="U",$M27="V"),$N27*Прайс!$D$43,IF(OR($M27="AJ № 3R",$M27="AJ № 4R",$M27="AJ № 5R",$M27="AJ № 3L",$M27="AJ № 4L",$M27="AJ № 5L",$M27="AJ № 3",$M27="AJ № 4",$M27="AJ № 5",$M27="J № 3",$M27="J № 4",$M27="J № 5",$M27="J № 6",$M27="J № 7",$M27="L",$M27="AL"),Прайс!$D$43*$E27,IF(OR($M27="J № 3L",$M27="J № 3R",$M27="J № 4L",$M27="J № 4R",$M27="J № 5L",$M27="J № 5R"),$N27/2*Прайс!$D$47*$E27,IF($M27="45 град.",$N27*Прайс!$D$42,0))))),0)</f>
        <v>0</v>
      </c>
      <c r="P27" s="192" t="str">
        <f>IF(Бланк!$L44="","",Бланк!$L44)</f>
        <v/>
      </c>
      <c r="Q27" s="192" t="str">
        <f>IF(Бланк!$M44="","",Бланк!$M44)</f>
        <v/>
      </c>
      <c r="R27" s="194">
        <f>IF($P27="",0,IF($Q27=$U27,0,IF($Q27="",0,IF(OR($G27=35,$G27=36,$G27=37,$G27=38),Прайс!$D$118*Бланк!E44,IF(AND($G27="гладкий",OR($M27="J № 1",$M27="J № 2",$M27="J № 2L",$M27="J № 2R")),$N27*Прайс!$D$59,0)))))</f>
        <v>0</v>
      </c>
      <c r="S27" s="192" t="str">
        <f>IF(OR(Бланк!$O44=0,Бланк!$O44=""),"",1)</f>
        <v/>
      </c>
      <c r="T27" s="192" t="str">
        <f>IF(Бланк!$R44="","",Бланк!$R44)</f>
        <v/>
      </c>
      <c r="U27" s="192" t="str">
        <f>IF(Бланк!$S44="","",Бланк!$S44)</f>
        <v/>
      </c>
      <c r="V27" s="192" t="str">
        <f>IF(Бланк!$T44="","",Бланк!$T44)</f>
        <v/>
      </c>
      <c r="W27" s="196" t="str">
        <f>IF(Бланк!$W44="","",Бланк!$W44)</f>
        <v/>
      </c>
      <c r="X27" s="197" t="str">
        <f>IF(Бланк!AB44="","",Бланк!AB44)</f>
        <v/>
      </c>
      <c r="Y27" s="197" t="str">
        <f>IF(Бланк!AC44="","",Бланк!AC44)</f>
        <v/>
      </c>
      <c r="Z27" s="195">
        <f>IF($G27="Гладкий",IF(OR($C27=0,$C27=""),0,IF(AND(OR($V27="Перли",$V27="Металік",$V27="Перл.зол.",$V27="Перл.ср.",$V27="Перл.зол.",$V27="Зор.н.ср.",$V27="Зор.н.зол.",$V27="Зор.н.різн.",$V27="Гума"),OR($F27=4,$F27=6,$F27=8,$F27=10,$F27=16)),$AI27*Прайс!$D$12,IF(AND(OR($V27="",$V27=0),$X27="Матове",OR($F27=4,$F27=6,$F27=8,$F27=10,$F27=16)),$AI27*Прайс!$D$10,IF(AND(OR($V27="",$V27=0),$X27="Глянець",OR($F27=4,$F27=6,$F27=8,$F27=10,$F27=16)),$AI27*Прайс!$D$11,IF(AND(OR($V27="",$V27=0),$X27="Софт(TS)",OR($F27=4,$F27=6,$F27=8,$F27=10,$F27=16)),$AI27*Прайс!#REF!,0))))),0)+IF($G27="Гладкий",0,IF(AND(OR($V27="Перли",$V27="Металік",$V27="Перл.зол.",$V27="Перл.ср.",$V27="Перл.зол.",$V27="Зор.н.ср.",$V27="Зор.н.зол.",$V27="Зор.н.різн.",$V27="Гума"),OR($F27=4,$F27=6,$F27=8,$F27=10,$F27=16),$H27=1),Просчет!$AI27*Прайс!$D$76,IF(AND(OR($V27="",$V27=0),$X27="Матове",OR($F27=4,$F27=6,$F27=8,$F27=10,$F27=16),$H27=1),Просчет!$AI27*Прайс!$D$73,IF(AND(OR($V27="",$V27=0),$X27="Глянець",OR($F27=4,$F27=6,$F27=8,$F27=10,$F27=16),$H27=1),Просчет!$AI27*Прайс!$D$75,IF(AND(OR($V27="",$V27=0),$G27="Софт(TS)",OR($F27=4,$F27=6,$F27=8,$F27=10,$F27=16),$H27=1),$AI27*Прайс!$D$74,IF(AND(OR($V27="",$V27=0),$X27="Матове покриття з патиною",OR($F27=4,$F27=6,$F27=8,$F27=10,$F27=16),$H27=1),$AI27*Прайс!$D$77,IF(AND(OR($V27="",$V27=0),$X27="Глянцеве покриття з патиною",OR($F27=4,$F27=6,$F27=8,$F27=10,$F27=16),$H27=1),$AI27*Прайс!$D$78,IF(AND(OR($V27="",$V27=0),$X27="Матовий DECAPE",OR($F27=4,$F27=6,$F27=8,$F27=10,$F27=16),$H27=1),$AI27*Прайс!$D$79,IF(AND(OR($V27="",$V27=0),$X27="Глянцевий DECAPE",OR($F27=4,$F27=6,$F27=8,$F27=10,$F27=16),$H27=1),$AI27*Прайс!$D$80,0)))))))))+IF($G27="Гладкий",0,IF(AND(OR($V27="Перли",$V27="Металік",$V27="Перл.зол.",$V27="Перл.ср.",$V27="Перл.зол.",$V27="Зор.н.ср.",$V27="Зор.н.зол.",$V27="Зор.н.різн.",$V27="Гума"),OR($F27=4,$F27=6,$F27=8,$F27=10,$F27=16),$H27=2),$AI27*Прайс!$E$76,IF(AND(OR($V27="",$V27=0),$X27="Матове",OR($F27=4,$F27=6,$F27=8,$F27=10,$F27=16),$H27=2),Просчет!$AI27*Прайс!$E$73,IF(AND(OR($V27="",$V27=0),$X27="Глянець",OR($F27=4,$F27=6,$F27=8,$F27=10,$F27=16),$H27=2),$AI27*Прайс!$E$75,IF(AND(OR($V27="",$V27=0),$X27="Софт(TS)",OR($F27=4,$F27=6,$F27=8,$F27=10,$F27=16),$H27=2),$AI27*Прайс!$E$74,IF(AND(OR($V27="",$V27=0),$X27="Матове покриття з патиною",OR($F27=4,$F27=6,$F27=8,$F27=10,$F27=16),$H27=2),$AI27*Прайс!$E$77,IF(AND(OR($V27="",$V27=0),$X27="Глянцеве покриття з патиною",OR($F27=4,$F27=6,$F27=8,$F27=10,$F27=16),$H27=2),$AI27*Прайс!$E$78,IF(AND(OR($V27="",$V27=0),$X27="Матовий DECAPE",OR($F27=4,$F27=6,$F27=8,$F27=10,$F27=16),$H27=2),$AI27*Прайс!$E$79,IF(AND(OR($V27="",$V27=0),$X27="Глянцевий DECAPE",OR($F27=4,$F27=6,$F27=8,$F27=10,$F27=16),$H27=2),$AI27*Прайс!$E$80,0)))))))))+IF(AND($S27=1,OR($H27=1,$H27=0),$X27=Наименование!$L$12,OR($F27=4,$F27=6,$F27=8,$F27=10,$F27=16)),$AI27*Прайс!$D$89,IF(AND($S27=1,OR($H27=1,$H27=0),$X27=Наименование!$L$13,OR($F27=4,$F27=6,$F27=8,$F27=10,$F27=16)),$AI27*Прайс!$D$90,IF(AND($S27=1,OR($H27=1,$H27=0),$X27=Наименование!$L47,OR($F27=4,$F27=6,$F27=8,$F27=10,$F27=16)),$AI27*Прайс!$D$91,IF(AND($S27=1,OR($H27=1,$H27=0),$X27=Наименование!$L$15,OR($F27=4,$F27=6,$F27=8,$F27=10,$F27=16)),$AI27*Прайс!$D$92,0))))+IF(AND($S27=1,$H27=2,$X27=Наименование!$L$12,OR($F27=4,$F27=6,$F27=8,$F27=10,$F27=16)),$AI27*Прайс!$E$89,IF(AND($S27=1,$H27=2,$X27=Наименование!$L$13,OR($F27=4,$F27=6,$F27=8,$F27=10,$F27=16)),$AI27*Прайс!$E$90,IF(AND($S27=1,$H27=2,$X27=Наименование!$L$14,OR($F27=4,$F27=6,$F27=8,$F27=10,$F27=16)),$AI27*Прайс!$E$91,IF(AND($S27=1,$H27=2,$X27=Наименование!$L$15,OR($F27=4,$F27=6,$F27=8,$F27=10,$F27=16)),$AI27*Прайс!$E$92))))</f>
        <v>0</v>
      </c>
      <c r="AA27" s="195">
        <f>IF($G27="Гладкий",IF(OR($C27=0,$C27=""),0,IF(AND(OR($V27="Перли",$V27="Металік",$V27="Перл.зол.",$V27="Перл.ср.",$V27="Перл.зол.",$V27="Зор.н.ср.",$V27="Зор.н.зол.",$V27="Зор.н.різн.",$V27="Гума"),$F27=19),$AI27*Прайс!$E$12,IF(AND(OR($V27="",$V27=0),$X27="Матове",$F27=19),$AI27*Прайс!$E$10,IF(AND(OR($V27="",$V27=0),$X27="Глянець",$F27=19),$AI27*Прайс!$E$11,IF(AND(OR($V27="",$V27=0),$X27="Софт(TS)",$F27=19),$AI27*Прайс!#REF!,0))))),0)+IF($G27="Гладкий",0,IF(AND(OR($V27="Перли",$V27="Металік",$V27="Перл.зол.",$V27="Перл.ср.",$V27="Перл.зол.",$V27="Зор.н.ср.",$V27="Зор.н.зол.",$V27="Зор.н.різн.",$V27="Гума"),$F27=19,$H27=1),Просчет!$AI27*Прайс!$F$76,IF(AND(OR($V27="",$V27=0),$X27="Матове",$F27=19,$H27=1),Просчет!$AI27*Прайс!$F$73,IF(AND(OR($V27="",$V27=0),$X27="Глянець",$F27=19,$H27=1),Просчет!$AI27*Прайс!$F$75,IF(AND(OR($V27="",$V27=0),$G27="Софт(TS)",$F27=19,$H27=1),$AI27*Прайс!$F$74,IF(AND(OR($V27="",$V27=0),$X27="Матове покриття з патиною",$F27=19,$H27=1),$AI27*Прайс!$F$77,IF(AND(OR($V27="",$V27=0),$X27="Глянцеве покриття з патиною",$F27=19,$H27=1),$AI27*Прайс!$F$78,IF(AND(OR($V27="",$V27=0),$X27="Матовий DECAPE",$F27=19,$H27=1),$AI27*Прайс!$F$79,IF(AND(OR($V27="",$V27=0),$X27="Глянцевий DECAPE",$F27=19,$H27=1),$AI27*Прайс!$F$80,0)))))))))+IF($G27="Гладкий",0,IF(AND(OR($V27="Перли",$V27="Металік",$V27="Перл.зол.",$V27="Перл.ср.",$V27="Перл.зол.",$V27="Зор.н.ср.",$V27="Зор.н.зол.",$V27="Зор.н.різн.",$V27="Гума"),$F27=19,$H27=2),$AI27*Прайс!$G$76,IF(AND(OR($V27="",$V27=0),$X27="Матове",$F27=19,$H27=2),Просчет!$AI27*Прайс!$G$73,IF(AND(OR($V27="",$V27=0),$X27="Глянець",$F27=19,$H27=2),$AI27*Прайс!$G$75,IF(AND(OR($V27="",$V27=0),$X27="Софт(TS)",$F27=19,$H27=2),$AI27*Прайс!$G$74,IF(AND(OR($V27="",$V27=0),$X27="Матове покриття з патиною",$F27=19,$H27=2),$AI27*Прайс!$G$77,IF(AND(OR($V27="",$V27=0),$X27="Глянцеве покриття з патиною",$F27=19,$H27=2),$AI27*Прайс!$G$78,IF(AND(OR($V27="",$V27=0),$X27="Матовий DECAPE",$F27=19,$H27=2),$AI27*Прайс!$G$79,IF(AND(OR($V27="",$V27=0),$X27="Глянцевий DECAPE",$F27=19,$H27=2),$AI27*Прайс!$G$78,0)))))))))+IF(AND($S27=1,OR($H27=1,$H27=0),$X27=Наименование!$L$12,$F27=19),$AI27*Прайс!$F$89,IF(AND($S27=1,OR($H27=1,$H27=0),$X27=Наименование!$L$13,$F27=19),$AI27*Прайс!$F$90,IF(AND($S27=1,OR($H27=1,$H27=0),$X27=Наименование!$L47,$F27=19),$AI27*Прайс!$F$91,IF(AND($S27=1,OR($H27=1,$H27=0),$X27=Наименование!$L$15,$F27=19),$AI27*Прайс!$F$92,0))))+IF(AND($S27=1,$H27=2,$X27=Наименование!$L$12,$F27=19),$AI27*Прайс!$G$89,IF(AND($S27=1,$H27=2,$X27=Наименование!$L$13,$F27=19),$AI27*Прайс!$G$90,IF(AND($S27=1,$H27=2,$X27=Наименование!$L$14,$F27=19),$AI27*Прайс!$G$91,IF(AND($S27=1,$H27=2,$X27=Наименование!$L$15,$F27=19),$AI27*Прайс!$G$92))))</f>
        <v>0</v>
      </c>
      <c r="AB27" s="195">
        <f>IF($G27="Гладкий",IF(OR($C27=0,$C27=""),0,IF($Y27="Матове",$AI27*(Прайс!$D$10-500),IF($Y27="Глянець",$AI27*(Прайс!$D$11-500),IF($Y27="Софт(TS)",$AI27*(Прайс!#REF!-500),0)))),0)+IF($G27="Гладкий",0,IF(AND($Y27="Матове",$H27=1),$AI27*Прайс!$D$73*0.5,IF(AND($Y27="Глянець",$H27=1),$AI27*Прайс!$D$75*0.5,IF(AND($Y27="Софт(TS)",$H27=1),$AI27*Прайс!$D$74*0.5,IF(AND($Y27="Матове покриття з патиною",$H27=1),$AI27*Прайс!$D$77*0.5,IF(AND($Y27="Глянцеве покриття з патиною",$H27=1),$AI27*Прайс!$D$78*0.5,IF(AND($Y27="Матовий DECAPE",$H27=1),$AI27*Прайс!$D$79*0.5,IF(AND($Y27="Глянцевий DECAPE",$H27=1),$AI27*Прайс!$D$80*0.5,0))))))))+IF($G27="Гладкий",0,IF(AND($Y27="Матове",$H27=2),$AI27*Прайс!$E$73*0.5,IF(AND($Y27="Глянець",$H27=2),$AI27*Прайс!$E$75*0.5,IF(AND($Y27="Софт(TS)",$H27=2),$AI27*Прайс!$E$74*0.5,IF(AND($Y27="Матове покриття з патиною",$H27=2),$AI27*Прайс!$E$77*0.5,IF(AND($Y27="Глянцеве покриття з патиною",$H27=2),$AI27*Прайс!$E$78*0.5,IF(AND($Y27="Матовий DECAPE",$H27=2),$AI27*Прайс!$E$79*0.5,IF(AND($Y27="Глянцевий DECAPE",$H27=2),$AI27*Прайс!$E$80*0.5,0)))))))+IF(AND($S27=1,OR($H27=1,$H27=0),$Y27=Прайс!$C$89),$AI27*[1]Прайс!$D$74*0.5,IF(AND($S27=1,OR($H27=1,$H27=0),$Y27=Прайс!$C$90),$AI27*Прайс!$D$90*0.5,IF(AND($S27=1,OR($H27=1,$H27=0),$Y27=Прайс!$C$91),$AI27*Прайс!$D$91*0.5,IF(AND($S27=1,OR($H27=1,$H27=0),$Y27=Прайс!$C$92),$AI27*Прайс!$D$92*0.5,0))))+IF(AND($S27=1,$H27=2,$Y27=Прайс!$C$89),$AI27*Прайс!$E$89*0.5,IF(AND($S27=1,$H27=2,$Y27=Прайс!$C$90),$AI27*Прайс!$E$90*0.5,IF(AND($S27=1,$H27=2,$Y27=Прайс!$C$91),$AI27*Прайс!$E$91*0.5,IF(AND($S27=1,$H27=2,$Y27=Прайс!$C$92),$AI27*Прайс!$E$92*0.5,0)))))</f>
        <v>0</v>
      </c>
      <c r="AC27" s="197" t="str">
        <f>IF(Бланк!AD44="","",Бланк!AD44*E27)</f>
        <v/>
      </c>
      <c r="AD27" s="195">
        <f>IF(OR($AC27=0,$AC27=""),0,$AC27*Прайс!$D$111)</f>
        <v>0</v>
      </c>
      <c r="AE27" s="197" t="str">
        <f>IF(Бланк!AE44="","",Бланк!AE44)</f>
        <v/>
      </c>
      <c r="AF27" s="197" t="str">
        <f>IF(Бланк!AF44="","",Бланк!AF44)</f>
        <v/>
      </c>
      <c r="AG27" s="197" t="str">
        <f>IF(Бланк!AG44="","",Бланк!AG44)</f>
        <v/>
      </c>
      <c r="AH27" s="197" t="str">
        <f>IF(Бланк!AH44="","",Бланк!AH44)</f>
        <v/>
      </c>
      <c r="AI27" s="139">
        <f>IF(Бланк!$AI44="","",Бланк!$AI44)</f>
        <v>0</v>
      </c>
      <c r="AJ27" s="198"/>
      <c r="AK27" s="198"/>
      <c r="AL27" s="198"/>
      <c r="AM27" s="199"/>
      <c r="AN27" s="199"/>
      <c r="AO27" s="199"/>
      <c r="AP27" s="199"/>
      <c r="AQ27" s="200"/>
      <c r="AR27" s="190"/>
    </row>
    <row r="28" spans="2:44" s="202" customFormat="1" ht="21" customHeight="1" x14ac:dyDescent="0.3">
      <c r="B28" s="201">
        <v>25</v>
      </c>
      <c r="C28" s="192" t="str">
        <f>IF(Бланк!$C45="","",Бланк!$C45/1000)</f>
        <v/>
      </c>
      <c r="D28" s="192" t="str">
        <f>IF(Бланк!$D45="","",Бланк!$D45/1000)</f>
        <v/>
      </c>
      <c r="E28" s="192" t="str">
        <f>IF(Бланк!$E45="","",Бланк!$E45)</f>
        <v/>
      </c>
      <c r="F28" s="192" t="str">
        <f>IF(Бланк!$F45="","",Бланк!$F45)</f>
        <v/>
      </c>
      <c r="G28" s="192" t="str">
        <f>IF(Бланк!$G45="","",Бланк!$G45)</f>
        <v/>
      </c>
      <c r="H28" s="193" t="str">
        <f>IF($G28="","",VLOOKUP($G28,Наименование!$M$42:$N$95,2,FALSE))</f>
        <v/>
      </c>
      <c r="I28" s="192" t="str">
        <f>IF(Бланк!$H45="","",Бланк!$H45)</f>
        <v/>
      </c>
      <c r="J28" s="192" t="str">
        <f>IF(Бланк!$I45="","",Бланк!$I45)</f>
        <v/>
      </c>
      <c r="K28" s="194" t="str">
        <f>IF(OR($J28="",$J28=0),"",IF($J28="Пряма з чвертю",(Прайс!$D$106+Прайс!$D$109)*Просчет!$E28,IF($J28="Пряма без чверті",Прайс!$D$106*Просчет!$E28,IF(AND($J28="Шпрос з чвертю",OR($C28&lt;1,$C28=1)),(Прайс!$D$37+Прайс!$D$40)*Просчет!$E28,IF(AND($J28="Шпрос з чвертю",$C28&gt;1),(Прайс!$F$37+Прайс!$D$40)*Просчет!$E28,IF(AND($J28="Шпрос без чверті",OR($C28&lt;1,$C28=1)),Прайс!$D$37*Просчет!$E28,IF(AND($J28="Шпрос без чверті",$C28&gt;1),Прайс!$F$37*Просчет!$E28,"")))))))</f>
        <v/>
      </c>
      <c r="L28" s="192" t="str">
        <f>IF(Бланк!$J45="","",Бланк!$J45/1000)</f>
        <v/>
      </c>
      <c r="M28" s="192" t="str">
        <f>IF(Бланк!$K45="","",Бланк!$K45)</f>
        <v/>
      </c>
      <c r="N28" s="195">
        <f t="shared" si="0"/>
        <v>0</v>
      </c>
      <c r="O28" s="194">
        <f>IF($G28="гладкий",IF($M28="","",IF(OR($M28="J № 1",$M28="J № 2",$M28="J № 2L",$M28="J № 2R",$M28="AJ № 2",$M28="AJ № 2L",$M28="AJ № 2R",$M28="U",$M28="V"),$N28*Прайс!$D$43,IF(OR($M28="AJ № 3R",$M28="AJ № 4R",$M28="AJ № 5R",$M28="AJ № 3L",$M28="AJ № 4L",$M28="AJ № 5L",$M28="AJ № 3",$M28="AJ № 4",$M28="AJ № 5",$M28="J № 3",$M28="J № 4",$M28="J № 5",$M28="J № 6",$M28="J № 7",$M28="L",$M28="AL"),Прайс!$D$43*$E28,IF(OR($M28="J № 3L",$M28="J № 3R",$M28="J № 4L",$M28="J № 4R",$M28="J № 5L",$M28="J № 5R"),$N28/2*Прайс!$D$47*$E28,IF($M28="45 град.",$N28*Прайс!$D$42,0))))),0)</f>
        <v>0</v>
      </c>
      <c r="P28" s="192" t="str">
        <f>IF(Бланк!$L45="","",Бланк!$L45)</f>
        <v/>
      </c>
      <c r="Q28" s="192" t="str">
        <f>IF(Бланк!$M45="","",Бланк!$M45)</f>
        <v/>
      </c>
      <c r="R28" s="194">
        <f>IF($P28="",0,IF($Q28=$U28,0,IF($Q28="",0,IF(OR($G28=35,$G28=36,$G28=37,$G28=38),Прайс!$D$118*Бланк!E45,IF(AND($G28="гладкий",OR($M28="J № 1",$M28="J № 2",$M28="J № 2L",$M28="J № 2R")),$N28*Прайс!$D$59,0)))))</f>
        <v>0</v>
      </c>
      <c r="S28" s="192" t="str">
        <f>IF(OR(Бланк!$O45=0,Бланк!$O45=""),"",1)</f>
        <v/>
      </c>
      <c r="T28" s="192" t="str">
        <f>IF(Бланк!$R45="","",Бланк!$R45)</f>
        <v/>
      </c>
      <c r="U28" s="192" t="str">
        <f>IF(Бланк!$S45="","",Бланк!$S45)</f>
        <v/>
      </c>
      <c r="V28" s="192" t="str">
        <f>IF(Бланк!$T45="","",Бланк!$T45)</f>
        <v/>
      </c>
      <c r="W28" s="196" t="str">
        <f>IF(Бланк!$W45="","",Бланк!$W45)</f>
        <v/>
      </c>
      <c r="X28" s="197" t="str">
        <f>IF(Бланк!AB45="","",Бланк!AB45)</f>
        <v/>
      </c>
      <c r="Y28" s="197" t="str">
        <f>IF(Бланк!AC45="","",Бланк!AC45)</f>
        <v/>
      </c>
      <c r="Z28" s="195">
        <f>IF($G28="Гладкий",IF(OR($C28=0,$C28=""),0,IF(AND(OR($V28="Перли",$V28="Металік",$V28="Перл.зол.",$V28="Перл.ср.",$V28="Перл.зол.",$V28="Зор.н.ср.",$V28="Зор.н.зол.",$V28="Зор.н.різн.",$V28="Гума"),OR($F28=4,$F28=6,$F28=8,$F28=10,$F28=16)),$AI28*Прайс!$D$12,IF(AND(OR($V28="",$V28=0),$X28="Матове",OR($F28=4,$F28=6,$F28=8,$F28=10,$F28=16)),$AI28*Прайс!$D$10,IF(AND(OR($V28="",$V28=0),$X28="Глянець",OR($F28=4,$F28=6,$F28=8,$F28=10,$F28=16)),$AI28*Прайс!$D$11,IF(AND(OR($V28="",$V28=0),$X28="Софт(TS)",OR($F28=4,$F28=6,$F28=8,$F28=10,$F28=16)),$AI28*Прайс!#REF!,0))))),0)+IF($G28="Гладкий",0,IF(AND(OR($V28="Перли",$V28="Металік",$V28="Перл.зол.",$V28="Перл.ср.",$V28="Перл.зол.",$V28="Зор.н.ср.",$V28="Зор.н.зол.",$V28="Зор.н.різн.",$V28="Гума"),OR($F28=4,$F28=6,$F28=8,$F28=10,$F28=16),$H28=1),Просчет!$AI28*Прайс!$D$76,IF(AND(OR($V28="",$V28=0),$X28="Матове",OR($F28=4,$F28=6,$F28=8,$F28=10,$F28=16),$H28=1),Просчет!$AI28*Прайс!$D$73,IF(AND(OR($V28="",$V28=0),$X28="Глянець",OR($F28=4,$F28=6,$F28=8,$F28=10,$F28=16),$H28=1),Просчет!$AI28*Прайс!$D$75,IF(AND(OR($V28="",$V28=0),$G28="Софт(TS)",OR($F28=4,$F28=6,$F28=8,$F28=10,$F28=16),$H28=1),$AI28*Прайс!$D$74,IF(AND(OR($V28="",$V28=0),$X28="Матове покриття з патиною",OR($F28=4,$F28=6,$F28=8,$F28=10,$F28=16),$H28=1),$AI28*Прайс!$D$77,IF(AND(OR($V28="",$V28=0),$X28="Глянцеве покриття з патиною",OR($F28=4,$F28=6,$F28=8,$F28=10,$F28=16),$H28=1),$AI28*Прайс!$D$78,IF(AND(OR($V28="",$V28=0),$X28="Матовий DECAPE",OR($F28=4,$F28=6,$F28=8,$F28=10,$F28=16),$H28=1),$AI28*Прайс!$D$79,IF(AND(OR($V28="",$V28=0),$X28="Глянцевий DECAPE",OR($F28=4,$F28=6,$F28=8,$F28=10,$F28=16),$H28=1),$AI28*Прайс!$D$80,0)))))))))+IF($G28="Гладкий",0,IF(AND(OR($V28="Перли",$V28="Металік",$V28="Перл.зол.",$V28="Перл.ср.",$V28="Перл.зол.",$V28="Зор.н.ср.",$V28="Зор.н.зол.",$V28="Зор.н.різн.",$V28="Гума"),OR($F28=4,$F28=6,$F28=8,$F28=10,$F28=16),$H28=2),$AI28*Прайс!$E$76,IF(AND(OR($V28="",$V28=0),$X28="Матове",OR($F28=4,$F28=6,$F28=8,$F28=10,$F28=16),$H28=2),Просчет!$AI28*Прайс!$E$73,IF(AND(OR($V28="",$V28=0),$X28="Глянець",OR($F28=4,$F28=6,$F28=8,$F28=10,$F28=16),$H28=2),$AI28*Прайс!$E$75,IF(AND(OR($V28="",$V28=0),$X28="Софт(TS)",OR($F28=4,$F28=6,$F28=8,$F28=10,$F28=16),$H28=2),$AI28*Прайс!$E$74,IF(AND(OR($V28="",$V28=0),$X28="Матове покриття з патиною",OR($F28=4,$F28=6,$F28=8,$F28=10,$F28=16),$H28=2),$AI28*Прайс!$E$77,IF(AND(OR($V28="",$V28=0),$X28="Глянцеве покриття з патиною",OR($F28=4,$F28=6,$F28=8,$F28=10,$F28=16),$H28=2),$AI28*Прайс!$E$78,IF(AND(OR($V28="",$V28=0),$X28="Матовий DECAPE",OR($F28=4,$F28=6,$F28=8,$F28=10,$F28=16),$H28=2),$AI28*Прайс!$E$79,IF(AND(OR($V28="",$V28=0),$X28="Глянцевий DECAPE",OR($F28=4,$F28=6,$F28=8,$F28=10,$F28=16),$H28=2),$AI28*Прайс!$E$80,0)))))))))+IF(AND($S28=1,OR($H28=1,$H28=0),$X28=Наименование!$L$12,OR($F28=4,$F28=6,$F28=8,$F28=10,$F28=16)),$AI28*Прайс!$D$89,IF(AND($S28=1,OR($H28=1,$H28=0),$X28=Наименование!$L$13,OR($F28=4,$F28=6,$F28=8,$F28=10,$F28=16)),$AI28*Прайс!$D$90,IF(AND($S28=1,OR($H28=1,$H28=0),$X28=Наименование!$L48,OR($F28=4,$F28=6,$F28=8,$F28=10,$F28=16)),$AI28*Прайс!$D$91,IF(AND($S28=1,OR($H28=1,$H28=0),$X28=Наименование!$L$15,OR($F28=4,$F28=6,$F28=8,$F28=10,$F28=16)),$AI28*Прайс!$D$92,0))))+IF(AND($S28=1,$H28=2,$X28=Наименование!$L$12,OR($F28=4,$F28=6,$F28=8,$F28=10,$F28=16)),$AI28*Прайс!$E$89,IF(AND($S28=1,$H28=2,$X28=Наименование!$L$13,OR($F28=4,$F28=6,$F28=8,$F28=10,$F28=16)),$AI28*Прайс!$E$90,IF(AND($S28=1,$H28=2,$X28=Наименование!$L$14,OR($F28=4,$F28=6,$F28=8,$F28=10,$F28=16)),$AI28*Прайс!$E$91,IF(AND($S28=1,$H28=2,$X28=Наименование!$L$15,OR($F28=4,$F28=6,$F28=8,$F28=10,$F28=16)),$AI28*Прайс!$E$92))))</f>
        <v>0</v>
      </c>
      <c r="AA28" s="195">
        <f>IF($G28="Гладкий",IF(OR($C28=0,$C28=""),0,IF(AND(OR($V28="Перли",$V28="Металік",$V28="Перл.зол.",$V28="Перл.ср.",$V28="Перл.зол.",$V28="Зор.н.ср.",$V28="Зор.н.зол.",$V28="Зор.н.різн.",$V28="Гума"),$F28=19),$AI28*Прайс!$E$12,IF(AND(OR($V28="",$V28=0),$X28="Матове",$F28=19),$AI28*Прайс!$E$10,IF(AND(OR($V28="",$V28=0),$X28="Глянець",$F28=19),$AI28*Прайс!$E$11,IF(AND(OR($V28="",$V28=0),$X28="Софт(TS)",$F28=19),$AI28*Прайс!#REF!,0))))),0)+IF($G28="Гладкий",0,IF(AND(OR($V28="Перли",$V28="Металік",$V28="Перл.зол.",$V28="Перл.ср.",$V28="Перл.зол.",$V28="Зор.н.ср.",$V28="Зор.н.зол.",$V28="Зор.н.різн.",$V28="Гума"),$F28=19,$H28=1),Просчет!$AI28*Прайс!$F$76,IF(AND(OR($V28="",$V28=0),$X28="Матове",$F28=19,$H28=1),Просчет!$AI28*Прайс!$F$73,IF(AND(OR($V28="",$V28=0),$X28="Глянець",$F28=19,$H28=1),Просчет!$AI28*Прайс!$F$75,IF(AND(OR($V28="",$V28=0),$G28="Софт(TS)",$F28=19,$H28=1),$AI28*Прайс!$F$74,IF(AND(OR($V28="",$V28=0),$X28="Матове покриття з патиною",$F28=19,$H28=1),$AI28*Прайс!$F$77,IF(AND(OR($V28="",$V28=0),$X28="Глянцеве покриття з патиною",$F28=19,$H28=1),$AI28*Прайс!$F$78,IF(AND(OR($V28="",$V28=0),$X28="Матовий DECAPE",$F28=19,$H28=1),$AI28*Прайс!$F$79,IF(AND(OR($V28="",$V28=0),$X28="Глянцевий DECAPE",$F28=19,$H28=1),$AI28*Прайс!$F$80,0)))))))))+IF($G28="Гладкий",0,IF(AND(OR($V28="Перли",$V28="Металік",$V28="Перл.зол.",$V28="Перл.ср.",$V28="Перл.зол.",$V28="Зор.н.ср.",$V28="Зор.н.зол.",$V28="Зор.н.різн.",$V28="Гума"),$F28=19,$H28=2),$AI28*Прайс!$G$76,IF(AND(OR($V28="",$V28=0),$X28="Матове",$F28=19,$H28=2),Просчет!$AI28*Прайс!$G$73,IF(AND(OR($V28="",$V28=0),$X28="Глянець",$F28=19,$H28=2),$AI28*Прайс!$G$75,IF(AND(OR($V28="",$V28=0),$X28="Софт(TS)",$F28=19,$H28=2),$AI28*Прайс!$G$74,IF(AND(OR($V28="",$V28=0),$X28="Матове покриття з патиною",$F28=19,$H28=2),$AI28*Прайс!$G$77,IF(AND(OR($V28="",$V28=0),$X28="Глянцеве покриття з патиною",$F28=19,$H28=2),$AI28*Прайс!$G$78,IF(AND(OR($V28="",$V28=0),$X28="Матовий DECAPE",$F28=19,$H28=2),$AI28*Прайс!$G$79,IF(AND(OR($V28="",$V28=0),$X28="Глянцевий DECAPE",$F28=19,$H28=2),$AI28*Прайс!$G$78,0)))))))))+IF(AND($S28=1,OR($H28=1,$H28=0),$X28=Наименование!$L$12,$F28=19),$AI28*Прайс!$F$89,IF(AND($S28=1,OR($H28=1,$H28=0),$X28=Наименование!$L$13,$F28=19),$AI28*Прайс!$F$90,IF(AND($S28=1,OR($H28=1,$H28=0),$X28=Наименование!$L48,$F28=19),$AI28*Прайс!$F$91,IF(AND($S28=1,OR($H28=1,$H28=0),$X28=Наименование!$L$15,$F28=19),$AI28*Прайс!$F$92,0))))+IF(AND($S28=1,$H28=2,$X28=Наименование!$L$12,$F28=19),$AI28*Прайс!$G$89,IF(AND($S28=1,$H28=2,$X28=Наименование!$L$13,$F28=19),$AI28*Прайс!$G$90,IF(AND($S28=1,$H28=2,$X28=Наименование!$L$14,$F28=19),$AI28*Прайс!$G$91,IF(AND($S28=1,$H28=2,$X28=Наименование!$L$15,$F28=19),$AI28*Прайс!$G$92))))</f>
        <v>0</v>
      </c>
      <c r="AB28" s="195">
        <f>IF($G28="Гладкий",IF(OR($C28=0,$C28=""),0,IF($Y28="Матове",$AI28*(Прайс!$D$10-500),IF($Y28="Глянець",$AI28*(Прайс!$D$11-500),IF($Y28="Софт(TS)",$AI28*(Прайс!#REF!-500),0)))),0)+IF($G28="Гладкий",0,IF(AND($Y28="Матове",$H28=1),$AI28*Прайс!$D$73*0.5,IF(AND($Y28="Глянець",$H28=1),$AI28*Прайс!$D$75*0.5,IF(AND($Y28="Софт(TS)",$H28=1),$AI28*Прайс!$D$74*0.5,IF(AND($Y28="Матове покриття з патиною",$H28=1),$AI28*Прайс!$D$77*0.5,IF(AND($Y28="Глянцеве покриття з патиною",$H28=1),$AI28*Прайс!$D$78*0.5,IF(AND($Y28="Матовий DECAPE",$H28=1),$AI28*Прайс!$D$79*0.5,IF(AND($Y28="Глянцевий DECAPE",$H28=1),$AI28*Прайс!$D$80*0.5,0))))))))+IF($G28="Гладкий",0,IF(AND($Y28="Матове",$H28=2),$AI28*Прайс!$E$73*0.5,IF(AND($Y28="Глянець",$H28=2),$AI28*Прайс!$E$75*0.5,IF(AND($Y28="Софт(TS)",$H28=2),$AI28*Прайс!$E$74*0.5,IF(AND($Y28="Матове покриття з патиною",$H28=2),$AI28*Прайс!$E$77*0.5,IF(AND($Y28="Глянцеве покриття з патиною",$H28=2),$AI28*Прайс!$E$78*0.5,IF(AND($Y28="Матовий DECAPE",$H28=2),$AI28*Прайс!$E$79*0.5,IF(AND($Y28="Глянцевий DECAPE",$H28=2),$AI28*Прайс!$E$80*0.5,0)))))))+IF(AND($S28=1,OR($H28=1,$H28=0),$Y28=Прайс!$C$89),$AI28*[1]Прайс!$D$74*0.5,IF(AND($S28=1,OR($H28=1,$H28=0),$Y28=Прайс!$C$90),$AI28*Прайс!$D$90*0.5,IF(AND($S28=1,OR($H28=1,$H28=0),$Y28=Прайс!$C$91),$AI28*Прайс!$D$91*0.5,IF(AND($S28=1,OR($H28=1,$H28=0),$Y28=Прайс!$C$92),$AI28*Прайс!$D$92*0.5,0))))+IF(AND($S28=1,$H28=2,$Y28=Прайс!$C$89),$AI28*Прайс!$E$89*0.5,IF(AND($S28=1,$H28=2,$Y28=Прайс!$C$90),$AI28*Прайс!$E$90*0.5,IF(AND($S28=1,$H28=2,$Y28=Прайс!$C$91),$AI28*Прайс!$E$91*0.5,IF(AND($S28=1,$H28=2,$Y28=Прайс!$C$92),$AI28*Прайс!$E$92*0.5,0)))))</f>
        <v>0</v>
      </c>
      <c r="AC28" s="197" t="str">
        <f>IF(Бланк!AD45="","",Бланк!AD45*E28)</f>
        <v/>
      </c>
      <c r="AD28" s="195">
        <f>IF(OR($AC28=0,$AC28=""),0,$AC28*Прайс!$D$111)</f>
        <v>0</v>
      </c>
      <c r="AE28" s="197" t="str">
        <f>IF(Бланк!AE45="","",Бланк!AE45)</f>
        <v/>
      </c>
      <c r="AF28" s="197" t="str">
        <f>IF(Бланк!AF45="","",Бланк!AF45)</f>
        <v/>
      </c>
      <c r="AG28" s="197" t="str">
        <f>IF(Бланк!AG45="","",Бланк!AG45)</f>
        <v/>
      </c>
      <c r="AH28" s="197" t="str">
        <f>IF(Бланк!AH45="","",Бланк!AH45)</f>
        <v/>
      </c>
      <c r="AI28" s="139">
        <f>IF(Бланк!$AI45="","",Бланк!$AI45)</f>
        <v>0</v>
      </c>
      <c r="AJ28" s="198"/>
      <c r="AK28" s="198"/>
      <c r="AL28" s="198"/>
      <c r="AM28" s="199"/>
      <c r="AN28" s="199"/>
      <c r="AO28" s="199"/>
      <c r="AP28" s="199"/>
      <c r="AQ28" s="200"/>
      <c r="AR28" s="190"/>
    </row>
    <row r="29" spans="2:44" s="202" customFormat="1" ht="21" customHeight="1" x14ac:dyDescent="0.3">
      <c r="B29" s="201">
        <v>26</v>
      </c>
      <c r="C29" s="192" t="str">
        <f>IF(Бланк!$C46="","",Бланк!$C46/1000)</f>
        <v/>
      </c>
      <c r="D29" s="192" t="str">
        <f>IF(Бланк!$D46="","",Бланк!$D46/1000)</f>
        <v/>
      </c>
      <c r="E29" s="192" t="str">
        <f>IF(Бланк!$E46="","",Бланк!$E46)</f>
        <v/>
      </c>
      <c r="F29" s="192" t="str">
        <f>IF(Бланк!$F46="","",Бланк!$F46)</f>
        <v/>
      </c>
      <c r="G29" s="192" t="str">
        <f>IF(Бланк!$G46="","",Бланк!$G46)</f>
        <v/>
      </c>
      <c r="H29" s="193" t="str">
        <f>IF($G29="","",VLOOKUP($G29,Наименование!$M$42:$N$95,2,FALSE))</f>
        <v/>
      </c>
      <c r="I29" s="192" t="str">
        <f>IF(Бланк!$H46="","",Бланк!$H46)</f>
        <v/>
      </c>
      <c r="J29" s="192" t="str">
        <f>IF(Бланк!$I46="","",Бланк!$I46)</f>
        <v/>
      </c>
      <c r="K29" s="194" t="str">
        <f>IF(OR($J29="",$J29=0),"",IF($J29="Пряма з чвертю",(Прайс!$D$106+Прайс!$D$109)*Просчет!$E29,IF($J29="Пряма без чверті",Прайс!$D$106*Просчет!$E29,IF(AND($J29="Шпрос з чвертю",OR($C29&lt;1,$C29=1)),(Прайс!$D$37+Прайс!$D$40)*Просчет!$E29,IF(AND($J29="Шпрос з чвертю",$C29&gt;1),(Прайс!$F$37+Прайс!$D$40)*Просчет!$E29,IF(AND($J29="Шпрос без чверті",OR($C29&lt;1,$C29=1)),Прайс!$D$37*Просчет!$E29,IF(AND($J29="Шпрос без чверті",$C29&gt;1),Прайс!$F$37*Просчет!$E29,"")))))))</f>
        <v/>
      </c>
      <c r="L29" s="192" t="str">
        <f>IF(Бланк!$J46="","",Бланк!$J46/1000)</f>
        <v/>
      </c>
      <c r="M29" s="192" t="str">
        <f>IF(Бланк!$K46="","",Бланк!$K46)</f>
        <v/>
      </c>
      <c r="N29" s="195">
        <f t="shared" si="0"/>
        <v>0</v>
      </c>
      <c r="O29" s="194">
        <f>IF($G29="гладкий",IF($M29="","",IF(OR($M29="J № 1",$M29="J № 2",$M29="J № 2L",$M29="J № 2R",$M29="AJ № 2",$M29="AJ № 2L",$M29="AJ № 2R",$M29="U",$M29="V"),$N29*Прайс!$D$43,IF(OR($M29="AJ № 3R",$M29="AJ № 4R",$M29="AJ № 5R",$M29="AJ № 3L",$M29="AJ № 4L",$M29="AJ № 5L",$M29="AJ № 3",$M29="AJ № 4",$M29="AJ № 5",$M29="J № 3",$M29="J № 4",$M29="J № 5",$M29="J № 6",$M29="J № 7",$M29="L",$M29="AL"),Прайс!$D$43*$E29,IF(OR($M29="J № 3L",$M29="J № 3R",$M29="J № 4L",$M29="J № 4R",$M29="J № 5L",$M29="J № 5R"),$N29/2*Прайс!$D$47*$E29,IF($M29="45 град.",$N29*Прайс!$D$42,0))))),0)</f>
        <v>0</v>
      </c>
      <c r="P29" s="192" t="str">
        <f>IF(Бланк!$L46="","",Бланк!$L46)</f>
        <v/>
      </c>
      <c r="Q29" s="192" t="str">
        <f>IF(Бланк!$M46="","",Бланк!$M46)</f>
        <v/>
      </c>
      <c r="R29" s="194">
        <f>IF($P29="",0,IF($Q29=$U29,0,IF($Q29="",0,IF(OR($G29=35,$G29=36,$G29=37,$G29=38),Прайс!$D$118*Бланк!E46,IF(AND($G29="гладкий",OR($M29="J № 1",$M29="J № 2",$M29="J № 2L",$M29="J № 2R")),$N29*Прайс!$D$59,0)))))</f>
        <v>0</v>
      </c>
      <c r="S29" s="192" t="str">
        <f>IF(OR(Бланк!$O46=0,Бланк!$O46=""),"",1)</f>
        <v/>
      </c>
      <c r="T29" s="192" t="str">
        <f>IF(Бланк!$R46="","",Бланк!$R46)</f>
        <v/>
      </c>
      <c r="U29" s="192" t="str">
        <f>IF(Бланк!$S46="","",Бланк!$S46)</f>
        <v/>
      </c>
      <c r="V29" s="192" t="str">
        <f>IF(Бланк!$T46="","",Бланк!$T46)</f>
        <v/>
      </c>
      <c r="W29" s="196" t="str">
        <f>IF(Бланк!$W46="","",Бланк!$W46)</f>
        <v/>
      </c>
      <c r="X29" s="197" t="str">
        <f>IF(Бланк!AB46="","",Бланк!AB46)</f>
        <v/>
      </c>
      <c r="Y29" s="197" t="str">
        <f>IF(Бланк!AC46="","",Бланк!AC46)</f>
        <v/>
      </c>
      <c r="Z29" s="195">
        <f>IF($G29="Гладкий",IF(OR($C29=0,$C29=""),0,IF(AND(OR($V29="Перли",$V29="Металік",$V29="Перл.зол.",$V29="Перл.ср.",$V29="Перл.зол.",$V29="Зор.н.ср.",$V29="Зор.н.зол.",$V29="Зор.н.різн.",$V29="Гума"),OR($F29=4,$F29=6,$F29=8,$F29=10,$F29=16)),$AI29*Прайс!$D$12,IF(AND(OR($V29="",$V29=0),$X29="Матове",OR($F29=4,$F29=6,$F29=8,$F29=10,$F29=16)),$AI29*Прайс!$D$10,IF(AND(OR($V29="",$V29=0),$X29="Глянець",OR($F29=4,$F29=6,$F29=8,$F29=10,$F29=16)),$AI29*Прайс!$D$11,IF(AND(OR($V29="",$V29=0),$X29="Софт(TS)",OR($F29=4,$F29=6,$F29=8,$F29=10,$F29=16)),$AI29*Прайс!#REF!,0))))),0)+IF($G29="Гладкий",0,IF(AND(OR($V29="Перли",$V29="Металік",$V29="Перл.зол.",$V29="Перл.ср.",$V29="Перл.зол.",$V29="Зор.н.ср.",$V29="Зор.н.зол.",$V29="Зор.н.різн.",$V29="Гума"),OR($F29=4,$F29=6,$F29=8,$F29=10,$F29=16),$H29=1),Просчет!$AI29*Прайс!$D$76,IF(AND(OR($V29="",$V29=0),$X29="Матове",OR($F29=4,$F29=6,$F29=8,$F29=10,$F29=16),$H29=1),Просчет!$AI29*Прайс!$D$73,IF(AND(OR($V29="",$V29=0),$X29="Глянець",OR($F29=4,$F29=6,$F29=8,$F29=10,$F29=16),$H29=1),Просчет!$AI29*Прайс!$D$75,IF(AND(OR($V29="",$V29=0),$G29="Софт(TS)",OR($F29=4,$F29=6,$F29=8,$F29=10,$F29=16),$H29=1),$AI29*Прайс!$D$74,IF(AND(OR($V29="",$V29=0),$X29="Матове покриття з патиною",OR($F29=4,$F29=6,$F29=8,$F29=10,$F29=16),$H29=1),$AI29*Прайс!$D$77,IF(AND(OR($V29="",$V29=0),$X29="Глянцеве покриття з патиною",OR($F29=4,$F29=6,$F29=8,$F29=10,$F29=16),$H29=1),$AI29*Прайс!$D$78,IF(AND(OR($V29="",$V29=0),$X29="Матовий DECAPE",OR($F29=4,$F29=6,$F29=8,$F29=10,$F29=16),$H29=1),$AI29*Прайс!$D$79,IF(AND(OR($V29="",$V29=0),$X29="Глянцевий DECAPE",OR($F29=4,$F29=6,$F29=8,$F29=10,$F29=16),$H29=1),$AI29*Прайс!$D$80,0)))))))))+IF($G29="Гладкий",0,IF(AND(OR($V29="Перли",$V29="Металік",$V29="Перл.зол.",$V29="Перл.ср.",$V29="Перл.зол.",$V29="Зор.н.ср.",$V29="Зор.н.зол.",$V29="Зор.н.різн.",$V29="Гума"),OR($F29=4,$F29=6,$F29=8,$F29=10,$F29=16),$H29=2),$AI29*Прайс!$E$76,IF(AND(OR($V29="",$V29=0),$X29="Матове",OR($F29=4,$F29=6,$F29=8,$F29=10,$F29=16),$H29=2),Просчет!$AI29*Прайс!$E$73,IF(AND(OR($V29="",$V29=0),$X29="Глянець",OR($F29=4,$F29=6,$F29=8,$F29=10,$F29=16),$H29=2),$AI29*Прайс!$E$75,IF(AND(OR($V29="",$V29=0),$X29="Софт(TS)",OR($F29=4,$F29=6,$F29=8,$F29=10,$F29=16),$H29=2),$AI29*Прайс!$E$74,IF(AND(OR($V29="",$V29=0),$X29="Матове покриття з патиною",OR($F29=4,$F29=6,$F29=8,$F29=10,$F29=16),$H29=2),$AI29*Прайс!$E$77,IF(AND(OR($V29="",$V29=0),$X29="Глянцеве покриття з патиною",OR($F29=4,$F29=6,$F29=8,$F29=10,$F29=16),$H29=2),$AI29*Прайс!$E$78,IF(AND(OR($V29="",$V29=0),$X29="Матовий DECAPE",OR($F29=4,$F29=6,$F29=8,$F29=10,$F29=16),$H29=2),$AI29*Прайс!$E$79,IF(AND(OR($V29="",$V29=0),$X29="Глянцевий DECAPE",OR($F29=4,$F29=6,$F29=8,$F29=10,$F29=16),$H29=2),$AI29*Прайс!$E$80,0)))))))))+IF(AND($S29=1,OR($H29=1,$H29=0),$X29=Наименование!$L$12,OR($F29=4,$F29=6,$F29=8,$F29=10,$F29=16)),$AI29*Прайс!$D$89,IF(AND($S29=1,OR($H29=1,$H29=0),$X29=Наименование!$L$13,OR($F29=4,$F29=6,$F29=8,$F29=10,$F29=16)),$AI29*Прайс!$D$90,IF(AND($S29=1,OR($H29=1,$H29=0),$X29=Наименование!$L49,OR($F29=4,$F29=6,$F29=8,$F29=10,$F29=16)),$AI29*Прайс!$D$91,IF(AND($S29=1,OR($H29=1,$H29=0),$X29=Наименование!$L$15,OR($F29=4,$F29=6,$F29=8,$F29=10,$F29=16)),$AI29*Прайс!$D$92,0))))+IF(AND($S29=1,$H29=2,$X29=Наименование!$L$12,OR($F29=4,$F29=6,$F29=8,$F29=10,$F29=16)),$AI29*Прайс!$E$89,IF(AND($S29=1,$H29=2,$X29=Наименование!$L$13,OR($F29=4,$F29=6,$F29=8,$F29=10,$F29=16)),$AI29*Прайс!$E$90,IF(AND($S29=1,$H29=2,$X29=Наименование!$L$14,OR($F29=4,$F29=6,$F29=8,$F29=10,$F29=16)),$AI29*Прайс!$E$91,IF(AND($S29=1,$H29=2,$X29=Наименование!$L$15,OR($F29=4,$F29=6,$F29=8,$F29=10,$F29=16)),$AI29*Прайс!$E$92))))</f>
        <v>0</v>
      </c>
      <c r="AA29" s="195">
        <f>IF($G29="Гладкий",IF(OR($C29=0,$C29=""),0,IF(AND(OR($V29="Перли",$V29="Металік",$V29="Перл.зол.",$V29="Перл.ср.",$V29="Перл.зол.",$V29="Зор.н.ср.",$V29="Зор.н.зол.",$V29="Зор.н.різн.",$V29="Гума"),$F29=19),$AI29*Прайс!$E$12,IF(AND(OR($V29="",$V29=0),$X29="Матове",$F29=19),$AI29*Прайс!$E$10,IF(AND(OR($V29="",$V29=0),$X29="Глянець",$F29=19),$AI29*Прайс!$E$11,IF(AND(OR($V29="",$V29=0),$X29="Софт(TS)",$F29=19),$AI29*Прайс!#REF!,0))))),0)+IF($G29="Гладкий",0,IF(AND(OR($V29="Перли",$V29="Металік",$V29="Перл.зол.",$V29="Перл.ср.",$V29="Перл.зол.",$V29="Зор.н.ср.",$V29="Зор.н.зол.",$V29="Зор.н.різн.",$V29="Гума"),$F29=19,$H29=1),Просчет!$AI29*Прайс!$F$76,IF(AND(OR($V29="",$V29=0),$X29="Матове",$F29=19,$H29=1),Просчет!$AI29*Прайс!$F$73,IF(AND(OR($V29="",$V29=0),$X29="Глянець",$F29=19,$H29=1),Просчет!$AI29*Прайс!$F$75,IF(AND(OR($V29="",$V29=0),$G29="Софт(TS)",$F29=19,$H29=1),$AI29*Прайс!$F$74,IF(AND(OR($V29="",$V29=0),$X29="Матове покриття з патиною",$F29=19,$H29=1),$AI29*Прайс!$F$77,IF(AND(OR($V29="",$V29=0),$X29="Глянцеве покриття з патиною",$F29=19,$H29=1),$AI29*Прайс!$F$78,IF(AND(OR($V29="",$V29=0),$X29="Матовий DECAPE",$F29=19,$H29=1),$AI29*Прайс!$F$79,IF(AND(OR($V29="",$V29=0),$X29="Глянцевий DECAPE",$F29=19,$H29=1),$AI29*Прайс!$F$80,0)))))))))+IF($G29="Гладкий",0,IF(AND(OR($V29="Перли",$V29="Металік",$V29="Перл.зол.",$V29="Перл.ср.",$V29="Перл.зол.",$V29="Зор.н.ср.",$V29="Зор.н.зол.",$V29="Зор.н.різн.",$V29="Гума"),$F29=19,$H29=2),$AI29*Прайс!$G$76,IF(AND(OR($V29="",$V29=0),$X29="Матове",$F29=19,$H29=2),Просчет!$AI29*Прайс!$G$73,IF(AND(OR($V29="",$V29=0),$X29="Глянець",$F29=19,$H29=2),$AI29*Прайс!$G$75,IF(AND(OR($V29="",$V29=0),$X29="Софт(TS)",$F29=19,$H29=2),$AI29*Прайс!$G$74,IF(AND(OR($V29="",$V29=0),$X29="Матове покриття з патиною",$F29=19,$H29=2),$AI29*Прайс!$G$77,IF(AND(OR($V29="",$V29=0),$X29="Глянцеве покриття з патиною",$F29=19,$H29=2),$AI29*Прайс!$G$78,IF(AND(OR($V29="",$V29=0),$X29="Матовий DECAPE",$F29=19,$H29=2),$AI29*Прайс!$G$79,IF(AND(OR($V29="",$V29=0),$X29="Глянцевий DECAPE",$F29=19,$H29=2),$AI29*Прайс!$G$78,0)))))))))+IF(AND($S29=1,OR($H29=1,$H29=0),$X29=Наименование!$L$12,$F29=19),$AI29*Прайс!$F$89,IF(AND($S29=1,OR($H29=1,$H29=0),$X29=Наименование!$L$13,$F29=19),$AI29*Прайс!$F$90,IF(AND($S29=1,OR($H29=1,$H29=0),$X29=Наименование!$L49,$F29=19),$AI29*Прайс!$F$91,IF(AND($S29=1,OR($H29=1,$H29=0),$X29=Наименование!$L$15,$F29=19),$AI29*Прайс!$F$92,0))))+IF(AND($S29=1,$H29=2,$X29=Наименование!$L$12,$F29=19),$AI29*Прайс!$G$89,IF(AND($S29=1,$H29=2,$X29=Наименование!$L$13,$F29=19),$AI29*Прайс!$G$90,IF(AND($S29=1,$H29=2,$X29=Наименование!$L$14,$F29=19),$AI29*Прайс!$G$91,IF(AND($S29=1,$H29=2,$X29=Наименование!$L$15,$F29=19),$AI29*Прайс!$G$92))))</f>
        <v>0</v>
      </c>
      <c r="AB29" s="195">
        <f>IF($G29="Гладкий",IF(OR($C29=0,$C29=""),0,IF($Y29="Матове",$AI29*(Прайс!$D$10-500),IF($Y29="Глянець",$AI29*(Прайс!$D$11-500),IF($Y29="Софт(TS)",$AI29*(Прайс!#REF!-500),0)))),0)+IF($G29="Гладкий",0,IF(AND($Y29="Матове",$H29=1),$AI29*Прайс!$D$73*0.5,IF(AND($Y29="Глянець",$H29=1),$AI29*Прайс!$D$75*0.5,IF(AND($Y29="Софт(TS)",$H29=1),$AI29*Прайс!$D$74*0.5,IF(AND($Y29="Матове покриття з патиною",$H29=1),$AI29*Прайс!$D$77*0.5,IF(AND($Y29="Глянцеве покриття з патиною",$H29=1),$AI29*Прайс!$D$78*0.5,IF(AND($Y29="Матовий DECAPE",$H29=1),$AI29*Прайс!$D$79*0.5,IF(AND($Y29="Глянцевий DECAPE",$H29=1),$AI29*Прайс!$D$80*0.5,0))))))))+IF($G29="Гладкий",0,IF(AND($Y29="Матове",$H29=2),$AI29*Прайс!$E$73*0.5,IF(AND($Y29="Глянець",$H29=2),$AI29*Прайс!$E$75*0.5,IF(AND($Y29="Софт(TS)",$H29=2),$AI29*Прайс!$E$74*0.5,IF(AND($Y29="Матове покриття з патиною",$H29=2),$AI29*Прайс!$E$77*0.5,IF(AND($Y29="Глянцеве покриття з патиною",$H29=2),$AI29*Прайс!$E$78*0.5,IF(AND($Y29="Матовий DECAPE",$H29=2),$AI29*Прайс!$E$79*0.5,IF(AND($Y29="Глянцевий DECAPE",$H29=2),$AI29*Прайс!$E$80*0.5,0)))))))+IF(AND($S29=1,OR($H29=1,$H29=0),$Y29=Прайс!$C$89),$AI29*[1]Прайс!$D$74*0.5,IF(AND($S29=1,OR($H29=1,$H29=0),$Y29=Прайс!$C$90),$AI29*Прайс!$D$90*0.5,IF(AND($S29=1,OR($H29=1,$H29=0),$Y29=Прайс!$C$91),$AI29*Прайс!$D$91*0.5,IF(AND($S29=1,OR($H29=1,$H29=0),$Y29=Прайс!$C$92),$AI29*Прайс!$D$92*0.5,0))))+IF(AND($S29=1,$H29=2,$Y29=Прайс!$C$89),$AI29*Прайс!$E$89*0.5,IF(AND($S29=1,$H29=2,$Y29=Прайс!$C$90),$AI29*Прайс!$E$90*0.5,IF(AND($S29=1,$H29=2,$Y29=Прайс!$C$91),$AI29*Прайс!$E$91*0.5,IF(AND($S29=1,$H29=2,$Y29=Прайс!$C$92),$AI29*Прайс!$E$92*0.5,0)))))</f>
        <v>0</v>
      </c>
      <c r="AC29" s="197" t="str">
        <f>IF(Бланк!AD46="","",Бланк!AD46*E29)</f>
        <v/>
      </c>
      <c r="AD29" s="195">
        <f>IF(OR($AC29=0,$AC29=""),0,$AC29*Прайс!$D$111)</f>
        <v>0</v>
      </c>
      <c r="AE29" s="197" t="str">
        <f>IF(Бланк!AE46="","",Бланк!AE46)</f>
        <v/>
      </c>
      <c r="AF29" s="197" t="str">
        <f>IF(Бланк!AF46="","",Бланк!AF46)</f>
        <v/>
      </c>
      <c r="AG29" s="197" t="str">
        <f>IF(Бланк!AG46="","",Бланк!AG46)</f>
        <v/>
      </c>
      <c r="AH29" s="197" t="str">
        <f>IF(Бланк!AH46="","",Бланк!AH46)</f>
        <v/>
      </c>
      <c r="AI29" s="139">
        <f>IF(Бланк!$AI46="","",Бланк!$AI46)</f>
        <v>0</v>
      </c>
      <c r="AJ29" s="198"/>
      <c r="AK29" s="198"/>
      <c r="AL29" s="198"/>
      <c r="AM29" s="199"/>
      <c r="AN29" s="199"/>
      <c r="AO29" s="199"/>
      <c r="AP29" s="199"/>
      <c r="AQ29" s="200"/>
      <c r="AR29" s="190"/>
    </row>
    <row r="30" spans="2:44" s="202" customFormat="1" ht="21" customHeight="1" x14ac:dyDescent="0.3">
      <c r="B30" s="201">
        <v>27</v>
      </c>
      <c r="C30" s="192" t="str">
        <f>IF(Бланк!$C47="","",Бланк!$C47/1000)</f>
        <v/>
      </c>
      <c r="D30" s="192" t="str">
        <f>IF(Бланк!$D47="","",Бланк!$D47/1000)</f>
        <v/>
      </c>
      <c r="E30" s="192" t="str">
        <f>IF(Бланк!$E47="","",Бланк!$E47)</f>
        <v/>
      </c>
      <c r="F30" s="192" t="str">
        <f>IF(Бланк!$F47="","",Бланк!$F47)</f>
        <v/>
      </c>
      <c r="G30" s="192" t="str">
        <f>IF(Бланк!$G47="","",Бланк!$G47)</f>
        <v/>
      </c>
      <c r="H30" s="193" t="str">
        <f>IF($G30="","",VLOOKUP($G30,Наименование!$M$42:$N$95,2,FALSE))</f>
        <v/>
      </c>
      <c r="I30" s="192" t="str">
        <f>IF(Бланк!$H47="","",Бланк!$H47)</f>
        <v/>
      </c>
      <c r="J30" s="192" t="str">
        <f>IF(Бланк!$I47="","",Бланк!$I47)</f>
        <v/>
      </c>
      <c r="K30" s="194" t="str">
        <f>IF(OR($J30="",$J30=0),"",IF($J30="Пряма з чвертю",(Прайс!$D$106+Прайс!$D$109)*Просчет!$E30,IF($J30="Пряма без чверті",Прайс!$D$106*Просчет!$E30,IF(AND($J30="Шпрос з чвертю",OR($C30&lt;1,$C30=1)),(Прайс!$D$37+Прайс!$D$40)*Просчет!$E30,IF(AND($J30="Шпрос з чвертю",$C30&gt;1),(Прайс!$F$37+Прайс!$D$40)*Просчет!$E30,IF(AND($J30="Шпрос без чверті",OR($C30&lt;1,$C30=1)),Прайс!$D$37*Просчет!$E30,IF(AND($J30="Шпрос без чверті",$C30&gt;1),Прайс!$F$37*Просчет!$E30,"")))))))</f>
        <v/>
      </c>
      <c r="L30" s="192" t="str">
        <f>IF(Бланк!$J47="","",Бланк!$J47/1000)</f>
        <v/>
      </c>
      <c r="M30" s="192" t="str">
        <f>IF(Бланк!$K47="","",Бланк!$K47)</f>
        <v/>
      </c>
      <c r="N30" s="195">
        <f t="shared" si="0"/>
        <v>0</v>
      </c>
      <c r="O30" s="194">
        <f>IF($G30="гладкий",IF($M30="","",IF(OR($M30="J № 1",$M30="J № 2",$M30="J № 2L",$M30="J № 2R",$M30="AJ № 2",$M30="AJ № 2L",$M30="AJ № 2R",$M30="U",$M30="V"),$N30*Прайс!$D$43,IF(OR($M30="AJ № 3R",$M30="AJ № 4R",$M30="AJ № 5R",$M30="AJ № 3L",$M30="AJ № 4L",$M30="AJ № 5L",$M30="AJ № 3",$M30="AJ № 4",$M30="AJ № 5",$M30="J № 3",$M30="J № 4",$M30="J № 5",$M30="J № 6",$M30="J № 7",$M30="L",$M30="AL"),Прайс!$D$43*$E30,IF(OR($M30="J № 3L",$M30="J № 3R",$M30="J № 4L",$M30="J № 4R",$M30="J № 5L",$M30="J № 5R"),$N30/2*Прайс!$D$47*$E30,IF($M30="45 град.",$N30*Прайс!$D$42,0))))),0)</f>
        <v>0</v>
      </c>
      <c r="P30" s="192" t="str">
        <f>IF(Бланк!$L47="","",Бланк!$L47)</f>
        <v/>
      </c>
      <c r="Q30" s="192" t="str">
        <f>IF(Бланк!$M47="","",Бланк!$M47)</f>
        <v/>
      </c>
      <c r="R30" s="194">
        <f>IF($P30="",0,IF($Q30=$U30,0,IF($Q30="",0,IF(OR($G30=35,$G30=36,$G30=37,$G30=38),Прайс!$D$118*Бланк!E47,IF(AND($G30="гладкий",OR($M30="J № 1",$M30="J № 2",$M30="J № 2L",$M30="J № 2R")),$N30*Прайс!$D$59,0)))))</f>
        <v>0</v>
      </c>
      <c r="S30" s="192" t="str">
        <f>IF(OR(Бланк!$O47=0,Бланк!$O47=""),"",1)</f>
        <v/>
      </c>
      <c r="T30" s="192" t="str">
        <f>IF(Бланк!$R47="","",Бланк!$R47)</f>
        <v/>
      </c>
      <c r="U30" s="192" t="str">
        <f>IF(Бланк!$S47="","",Бланк!$S47)</f>
        <v/>
      </c>
      <c r="V30" s="192" t="str">
        <f>IF(Бланк!$T47="","",Бланк!$T47)</f>
        <v/>
      </c>
      <c r="W30" s="196" t="str">
        <f>IF(Бланк!$W47="","",Бланк!$W47)</f>
        <v/>
      </c>
      <c r="X30" s="197" t="str">
        <f>IF(Бланк!AB47="","",Бланк!AB47)</f>
        <v/>
      </c>
      <c r="Y30" s="197" t="str">
        <f>IF(Бланк!AC47="","",Бланк!AC47)</f>
        <v/>
      </c>
      <c r="Z30" s="195">
        <f>IF($G30="Гладкий",IF(OR($C30=0,$C30=""),0,IF(AND(OR($V30="Перли",$V30="Металік",$V30="Перл.зол.",$V30="Перл.ср.",$V30="Перл.зол.",$V30="Зор.н.ср.",$V30="Зор.н.зол.",$V30="Зор.н.різн.",$V30="Гума"),OR($F30=4,$F30=6,$F30=8,$F30=10,$F30=16)),$AI30*Прайс!$D$12,IF(AND(OR($V30="",$V30=0),$X30="Матове",OR($F30=4,$F30=6,$F30=8,$F30=10,$F30=16)),$AI30*Прайс!$D$10,IF(AND(OR($V30="",$V30=0),$X30="Глянець",OR($F30=4,$F30=6,$F30=8,$F30=10,$F30=16)),$AI30*Прайс!$D$11,IF(AND(OR($V30="",$V30=0),$X30="Софт(TS)",OR($F30=4,$F30=6,$F30=8,$F30=10,$F30=16)),$AI30*Прайс!#REF!,0))))),0)+IF($G30="Гладкий",0,IF(AND(OR($V30="Перли",$V30="Металік",$V30="Перл.зол.",$V30="Перл.ср.",$V30="Перл.зол.",$V30="Зор.н.ср.",$V30="Зор.н.зол.",$V30="Зор.н.різн.",$V30="Гума"),OR($F30=4,$F30=6,$F30=8,$F30=10,$F30=16),$H30=1),Просчет!$AI30*Прайс!$D$76,IF(AND(OR($V30="",$V30=0),$X30="Матове",OR($F30=4,$F30=6,$F30=8,$F30=10,$F30=16),$H30=1),Просчет!$AI30*Прайс!$D$73,IF(AND(OR($V30="",$V30=0),$X30="Глянець",OR($F30=4,$F30=6,$F30=8,$F30=10,$F30=16),$H30=1),Просчет!$AI30*Прайс!$D$75,IF(AND(OR($V30="",$V30=0),$G30="Софт(TS)",OR($F30=4,$F30=6,$F30=8,$F30=10,$F30=16),$H30=1),$AI30*Прайс!$D$74,IF(AND(OR($V30="",$V30=0),$X30="Матове покриття з патиною",OR($F30=4,$F30=6,$F30=8,$F30=10,$F30=16),$H30=1),$AI30*Прайс!$D$77,IF(AND(OR($V30="",$V30=0),$X30="Глянцеве покриття з патиною",OR($F30=4,$F30=6,$F30=8,$F30=10,$F30=16),$H30=1),$AI30*Прайс!$D$78,IF(AND(OR($V30="",$V30=0),$X30="Матовий DECAPE",OR($F30=4,$F30=6,$F30=8,$F30=10,$F30=16),$H30=1),$AI30*Прайс!$D$79,IF(AND(OR($V30="",$V30=0),$X30="Глянцевий DECAPE",OR($F30=4,$F30=6,$F30=8,$F30=10,$F30=16),$H30=1),$AI30*Прайс!$D$80,0)))))))))+IF($G30="Гладкий",0,IF(AND(OR($V30="Перли",$V30="Металік",$V30="Перл.зол.",$V30="Перл.ср.",$V30="Перл.зол.",$V30="Зор.н.ср.",$V30="Зор.н.зол.",$V30="Зор.н.різн.",$V30="Гума"),OR($F30=4,$F30=6,$F30=8,$F30=10,$F30=16),$H30=2),$AI30*Прайс!$E$76,IF(AND(OR($V30="",$V30=0),$X30="Матове",OR($F30=4,$F30=6,$F30=8,$F30=10,$F30=16),$H30=2),Просчет!$AI30*Прайс!$E$73,IF(AND(OR($V30="",$V30=0),$X30="Глянець",OR($F30=4,$F30=6,$F30=8,$F30=10,$F30=16),$H30=2),$AI30*Прайс!$E$75,IF(AND(OR($V30="",$V30=0),$X30="Софт(TS)",OR($F30=4,$F30=6,$F30=8,$F30=10,$F30=16),$H30=2),$AI30*Прайс!$E$74,IF(AND(OR($V30="",$V30=0),$X30="Матове покриття з патиною",OR($F30=4,$F30=6,$F30=8,$F30=10,$F30=16),$H30=2),$AI30*Прайс!$E$77,IF(AND(OR($V30="",$V30=0),$X30="Глянцеве покриття з патиною",OR($F30=4,$F30=6,$F30=8,$F30=10,$F30=16),$H30=2),$AI30*Прайс!$E$78,IF(AND(OR($V30="",$V30=0),$X30="Матовий DECAPE",OR($F30=4,$F30=6,$F30=8,$F30=10,$F30=16),$H30=2),$AI30*Прайс!$E$79,IF(AND(OR($V30="",$V30=0),$X30="Глянцевий DECAPE",OR($F30=4,$F30=6,$F30=8,$F30=10,$F30=16),$H30=2),$AI30*Прайс!$E$80,0)))))))))+IF(AND($S30=1,OR($H30=1,$H30=0),$X30=Наименование!$L$12,OR($F30=4,$F30=6,$F30=8,$F30=10,$F30=16)),$AI30*Прайс!$D$89,IF(AND($S30=1,OR($H30=1,$H30=0),$X30=Наименование!$L$13,OR($F30=4,$F30=6,$F30=8,$F30=10,$F30=16)),$AI30*Прайс!$D$90,IF(AND($S30=1,OR($H30=1,$H30=0),$X30=Наименование!$L50,OR($F30=4,$F30=6,$F30=8,$F30=10,$F30=16)),$AI30*Прайс!$D$91,IF(AND($S30=1,OR($H30=1,$H30=0),$X30=Наименование!$L$15,OR($F30=4,$F30=6,$F30=8,$F30=10,$F30=16)),$AI30*Прайс!$D$92,0))))+IF(AND($S30=1,$H30=2,$X30=Наименование!$L$12,OR($F30=4,$F30=6,$F30=8,$F30=10,$F30=16)),$AI30*Прайс!$E$89,IF(AND($S30=1,$H30=2,$X30=Наименование!$L$13,OR($F30=4,$F30=6,$F30=8,$F30=10,$F30=16)),$AI30*Прайс!$E$90,IF(AND($S30=1,$H30=2,$X30=Наименование!$L$14,OR($F30=4,$F30=6,$F30=8,$F30=10,$F30=16)),$AI30*Прайс!$E$91,IF(AND($S30=1,$H30=2,$X30=Наименование!$L$15,OR($F30=4,$F30=6,$F30=8,$F30=10,$F30=16)),$AI30*Прайс!$E$92))))</f>
        <v>0</v>
      </c>
      <c r="AA30" s="195">
        <f>IF($G30="Гладкий",IF(OR($C30=0,$C30=""),0,IF(AND(OR($V30="Перли",$V30="Металік",$V30="Перл.зол.",$V30="Перл.ср.",$V30="Перл.зол.",$V30="Зор.н.ср.",$V30="Зор.н.зол.",$V30="Зор.н.різн.",$V30="Гума"),$F30=19),$AI30*Прайс!$E$12,IF(AND(OR($V30="",$V30=0),$X30="Матове",$F30=19),$AI30*Прайс!$E$10,IF(AND(OR($V30="",$V30=0),$X30="Глянець",$F30=19),$AI30*Прайс!$E$11,IF(AND(OR($V30="",$V30=0),$X30="Софт(TS)",$F30=19),$AI30*Прайс!#REF!,0))))),0)+IF($G30="Гладкий",0,IF(AND(OR($V30="Перли",$V30="Металік",$V30="Перл.зол.",$V30="Перл.ср.",$V30="Перл.зол.",$V30="Зор.н.ср.",$V30="Зор.н.зол.",$V30="Зор.н.різн.",$V30="Гума"),$F30=19,$H30=1),Просчет!$AI30*Прайс!$F$76,IF(AND(OR($V30="",$V30=0),$X30="Матове",$F30=19,$H30=1),Просчет!$AI30*Прайс!$F$73,IF(AND(OR($V30="",$V30=0),$X30="Глянець",$F30=19,$H30=1),Просчет!$AI30*Прайс!$F$75,IF(AND(OR($V30="",$V30=0),$G30="Софт(TS)",$F30=19,$H30=1),$AI30*Прайс!$F$74,IF(AND(OR($V30="",$V30=0),$X30="Матове покриття з патиною",$F30=19,$H30=1),$AI30*Прайс!$F$77,IF(AND(OR($V30="",$V30=0),$X30="Глянцеве покриття з патиною",$F30=19,$H30=1),$AI30*Прайс!$F$78,IF(AND(OR($V30="",$V30=0),$X30="Матовий DECAPE",$F30=19,$H30=1),$AI30*Прайс!$F$79,IF(AND(OR($V30="",$V30=0),$X30="Глянцевий DECAPE",$F30=19,$H30=1),$AI30*Прайс!$F$80,0)))))))))+IF($G30="Гладкий",0,IF(AND(OR($V30="Перли",$V30="Металік",$V30="Перл.зол.",$V30="Перл.ср.",$V30="Перл.зол.",$V30="Зор.н.ср.",$V30="Зор.н.зол.",$V30="Зор.н.різн.",$V30="Гума"),$F30=19,$H30=2),$AI30*Прайс!$G$76,IF(AND(OR($V30="",$V30=0),$X30="Матове",$F30=19,$H30=2),Просчет!$AI30*Прайс!$G$73,IF(AND(OR($V30="",$V30=0),$X30="Глянець",$F30=19,$H30=2),$AI30*Прайс!$G$75,IF(AND(OR($V30="",$V30=0),$X30="Софт(TS)",$F30=19,$H30=2),$AI30*Прайс!$G$74,IF(AND(OR($V30="",$V30=0),$X30="Матове покриття з патиною",$F30=19,$H30=2),$AI30*Прайс!$G$77,IF(AND(OR($V30="",$V30=0),$X30="Глянцеве покриття з патиною",$F30=19,$H30=2),$AI30*Прайс!$G$78,IF(AND(OR($V30="",$V30=0),$X30="Матовий DECAPE",$F30=19,$H30=2),$AI30*Прайс!$G$79,IF(AND(OR($V30="",$V30=0),$X30="Глянцевий DECAPE",$F30=19,$H30=2),$AI30*Прайс!$G$78,0)))))))))+IF(AND($S30=1,OR($H30=1,$H30=0),$X30=Наименование!$L$12,$F30=19),$AI30*Прайс!$F$89,IF(AND($S30=1,OR($H30=1,$H30=0),$X30=Наименование!$L$13,$F30=19),$AI30*Прайс!$F$90,IF(AND($S30=1,OR($H30=1,$H30=0),$X30=Наименование!$L50,$F30=19),$AI30*Прайс!$F$91,IF(AND($S30=1,OR($H30=1,$H30=0),$X30=Наименование!$L$15,$F30=19),$AI30*Прайс!$F$92,0))))+IF(AND($S30=1,$H30=2,$X30=Наименование!$L$12,$F30=19),$AI30*Прайс!$G$89,IF(AND($S30=1,$H30=2,$X30=Наименование!$L$13,$F30=19),$AI30*Прайс!$G$90,IF(AND($S30=1,$H30=2,$X30=Наименование!$L$14,$F30=19),$AI30*Прайс!$G$91,IF(AND($S30=1,$H30=2,$X30=Наименование!$L$15,$F30=19),$AI30*Прайс!$G$92))))</f>
        <v>0</v>
      </c>
      <c r="AB30" s="195">
        <f>IF($G30="Гладкий",IF(OR($C30=0,$C30=""),0,IF($Y30="Матове",$AI30*(Прайс!$D$10-500),IF($Y30="Глянець",$AI30*(Прайс!$D$11-500),IF($Y30="Софт(TS)",$AI30*(Прайс!#REF!-500),0)))),0)+IF($G30="Гладкий",0,IF(AND($Y30="Матове",$H30=1),$AI30*Прайс!$D$73*0.5,IF(AND($Y30="Глянець",$H30=1),$AI30*Прайс!$D$75*0.5,IF(AND($Y30="Софт(TS)",$H30=1),$AI30*Прайс!$D$74*0.5,IF(AND($Y30="Матове покриття з патиною",$H30=1),$AI30*Прайс!$D$77*0.5,IF(AND($Y30="Глянцеве покриття з патиною",$H30=1),$AI30*Прайс!$D$78*0.5,IF(AND($Y30="Матовий DECAPE",$H30=1),$AI30*Прайс!$D$79*0.5,IF(AND($Y30="Глянцевий DECAPE",$H30=1),$AI30*Прайс!$D$80*0.5,0))))))))+IF($G30="Гладкий",0,IF(AND($Y30="Матове",$H30=2),$AI30*Прайс!$E$73*0.5,IF(AND($Y30="Глянець",$H30=2),$AI30*Прайс!$E$75*0.5,IF(AND($Y30="Софт(TS)",$H30=2),$AI30*Прайс!$E$74*0.5,IF(AND($Y30="Матове покриття з патиною",$H30=2),$AI30*Прайс!$E$77*0.5,IF(AND($Y30="Глянцеве покриття з патиною",$H30=2),$AI30*Прайс!$E$78*0.5,IF(AND($Y30="Матовий DECAPE",$H30=2),$AI30*Прайс!$E$79*0.5,IF(AND($Y30="Глянцевий DECAPE",$H30=2),$AI30*Прайс!$E$80*0.5,0)))))))+IF(AND($S30=1,OR($H30=1,$H30=0),$Y30=Прайс!$C$89),$AI30*[1]Прайс!$D$74*0.5,IF(AND($S30=1,OR($H30=1,$H30=0),$Y30=Прайс!$C$90),$AI30*Прайс!$D$90*0.5,IF(AND($S30=1,OR($H30=1,$H30=0),$Y30=Прайс!$C$91),$AI30*Прайс!$D$91*0.5,IF(AND($S30=1,OR($H30=1,$H30=0),$Y30=Прайс!$C$92),$AI30*Прайс!$D$92*0.5,0))))+IF(AND($S30=1,$H30=2,$Y30=Прайс!$C$89),$AI30*Прайс!$E$89*0.5,IF(AND($S30=1,$H30=2,$Y30=Прайс!$C$90),$AI30*Прайс!$E$90*0.5,IF(AND($S30=1,$H30=2,$Y30=Прайс!$C$91),$AI30*Прайс!$E$91*0.5,IF(AND($S30=1,$H30=2,$Y30=Прайс!$C$92),$AI30*Прайс!$E$92*0.5,0)))))</f>
        <v>0</v>
      </c>
      <c r="AC30" s="197" t="str">
        <f>IF(Бланк!AD47="","",Бланк!AD47*E30)</f>
        <v/>
      </c>
      <c r="AD30" s="195">
        <f>IF(OR($AC30=0,$AC30=""),0,$AC30*Прайс!$D$111)</f>
        <v>0</v>
      </c>
      <c r="AE30" s="197" t="str">
        <f>IF(Бланк!AE47="","",Бланк!AE47)</f>
        <v/>
      </c>
      <c r="AF30" s="197" t="str">
        <f>IF(Бланк!AF47="","",Бланк!AF47)</f>
        <v/>
      </c>
      <c r="AG30" s="197" t="str">
        <f>IF(Бланк!AG47="","",Бланк!AG47)</f>
        <v/>
      </c>
      <c r="AH30" s="197" t="str">
        <f>IF(Бланк!AH47="","",Бланк!AH47)</f>
        <v/>
      </c>
      <c r="AI30" s="139">
        <f>IF(Бланк!$AI47="","",Бланк!$AI47)</f>
        <v>0</v>
      </c>
      <c r="AJ30" s="198"/>
      <c r="AK30" s="198"/>
      <c r="AL30" s="198"/>
      <c r="AM30" s="199"/>
      <c r="AN30" s="199"/>
      <c r="AO30" s="199"/>
      <c r="AP30" s="199"/>
      <c r="AQ30" s="200"/>
      <c r="AR30" s="190"/>
    </row>
    <row r="31" spans="2:44" s="202" customFormat="1" ht="21" customHeight="1" x14ac:dyDescent="0.3">
      <c r="B31" s="201">
        <v>28</v>
      </c>
      <c r="C31" s="192" t="str">
        <f>IF(Бланк!$C48="","",Бланк!$C48/1000)</f>
        <v/>
      </c>
      <c r="D31" s="192" t="str">
        <f>IF(Бланк!$D48="","",Бланк!$D48/1000)</f>
        <v/>
      </c>
      <c r="E31" s="192" t="str">
        <f>IF(Бланк!$E48="","",Бланк!$E48)</f>
        <v/>
      </c>
      <c r="F31" s="192" t="str">
        <f>IF(Бланк!$F48="","",Бланк!$F48)</f>
        <v/>
      </c>
      <c r="G31" s="192" t="str">
        <f>IF(Бланк!$G48="","",Бланк!$G48)</f>
        <v/>
      </c>
      <c r="H31" s="193" t="str">
        <f>IF($G31="","",VLOOKUP($G31,Наименование!$M$42:$N$95,2,FALSE))</f>
        <v/>
      </c>
      <c r="I31" s="192" t="str">
        <f>IF(Бланк!$H48="","",Бланк!$H48)</f>
        <v/>
      </c>
      <c r="J31" s="192" t="str">
        <f>IF(Бланк!$I48="","",Бланк!$I48)</f>
        <v/>
      </c>
      <c r="K31" s="194" t="str">
        <f>IF(OR($J31="",$J31=0),"",IF($J31="Пряма з чвертю",(Прайс!$D$106+Прайс!$D$109)*Просчет!$E31,IF($J31="Пряма без чверті",Прайс!$D$106*Просчет!$E31,IF(AND($J31="Шпрос з чвертю",OR($C31&lt;1,$C31=1)),(Прайс!$D$37+Прайс!$D$40)*Просчет!$E31,IF(AND($J31="Шпрос з чвертю",$C31&gt;1),(Прайс!$F$37+Прайс!$D$40)*Просчет!$E31,IF(AND($J31="Шпрос без чверті",OR($C31&lt;1,$C31=1)),Прайс!$D$37*Просчет!$E31,IF(AND($J31="Шпрос без чверті",$C31&gt;1),Прайс!$F$37*Просчет!$E31,"")))))))</f>
        <v/>
      </c>
      <c r="L31" s="192" t="str">
        <f>IF(Бланк!$J48="","",Бланк!$J48/1000)</f>
        <v/>
      </c>
      <c r="M31" s="192" t="str">
        <f>IF(Бланк!$K48="","",Бланк!$K48)</f>
        <v/>
      </c>
      <c r="N31" s="195">
        <f t="shared" si="0"/>
        <v>0</v>
      </c>
      <c r="O31" s="194">
        <f>IF($G31="гладкий",IF($M31="","",IF(OR($M31="J № 1",$M31="J № 2",$M31="J № 2L",$M31="J № 2R",$M31="AJ № 2",$M31="AJ № 2L",$M31="AJ № 2R",$M31="U",$M31="V"),$N31*Прайс!$D$43,IF(OR($M31="AJ № 3R",$M31="AJ № 4R",$M31="AJ № 5R",$M31="AJ № 3L",$M31="AJ № 4L",$M31="AJ № 5L",$M31="AJ № 3",$M31="AJ № 4",$M31="AJ № 5",$M31="J № 3",$M31="J № 4",$M31="J № 5",$M31="J № 6",$M31="J № 7",$M31="L",$M31="AL"),Прайс!$D$43*$E31,IF(OR($M31="J № 3L",$M31="J № 3R",$M31="J № 4L",$M31="J № 4R",$M31="J № 5L",$M31="J № 5R"),$N31/2*Прайс!$D$47*$E31,IF($M31="45 град.",$N31*Прайс!$D$42,0))))),0)</f>
        <v>0</v>
      </c>
      <c r="P31" s="192" t="str">
        <f>IF(Бланк!$L48="","",Бланк!$L48)</f>
        <v/>
      </c>
      <c r="Q31" s="192" t="str">
        <f>IF(Бланк!$M48="","",Бланк!$M48)</f>
        <v/>
      </c>
      <c r="R31" s="194">
        <f>IF($P31="",0,IF($Q31=$U31,0,IF($Q31="",0,IF(OR($G31=35,$G31=36,$G31=37,$G31=38),Прайс!$D$118*Бланк!E48,IF(AND($G31="гладкий",OR($M31="J № 1",$M31="J № 2",$M31="J № 2L",$M31="J № 2R")),$N31*Прайс!$D$59,0)))))</f>
        <v>0</v>
      </c>
      <c r="S31" s="192" t="str">
        <f>IF(OR(Бланк!$O48=0,Бланк!$O48=""),"",1)</f>
        <v/>
      </c>
      <c r="T31" s="192" t="str">
        <f>IF(Бланк!$R48="","",Бланк!$R48)</f>
        <v/>
      </c>
      <c r="U31" s="192" t="str">
        <f>IF(Бланк!$S48="","",Бланк!$S48)</f>
        <v/>
      </c>
      <c r="V31" s="192" t="str">
        <f>IF(Бланк!$T48="","",Бланк!$T48)</f>
        <v/>
      </c>
      <c r="W31" s="196" t="str">
        <f>IF(Бланк!$W48="","",Бланк!$W48)</f>
        <v/>
      </c>
      <c r="X31" s="197" t="str">
        <f>IF(Бланк!AB48="","",Бланк!AB48)</f>
        <v/>
      </c>
      <c r="Y31" s="197" t="str">
        <f>IF(Бланк!AC48="","",Бланк!AC48)</f>
        <v/>
      </c>
      <c r="Z31" s="195">
        <f>IF($G31="Гладкий",IF(OR($C31=0,$C31=""),0,IF(AND(OR($V31="Перли",$V31="Металік",$V31="Перл.зол.",$V31="Перл.ср.",$V31="Перл.зол.",$V31="Зор.н.ср.",$V31="Зор.н.зол.",$V31="Зор.н.різн.",$V31="Гума"),OR($F31=4,$F31=6,$F31=8,$F31=10,$F31=16)),$AI31*Прайс!$D$12,IF(AND(OR($V31="",$V31=0),$X31="Матове",OR($F31=4,$F31=6,$F31=8,$F31=10,$F31=16)),$AI31*Прайс!$D$10,IF(AND(OR($V31="",$V31=0),$X31="Глянець",OR($F31=4,$F31=6,$F31=8,$F31=10,$F31=16)),$AI31*Прайс!$D$11,IF(AND(OR($V31="",$V31=0),$X31="Софт(TS)",OR($F31=4,$F31=6,$F31=8,$F31=10,$F31=16)),$AI31*Прайс!#REF!,0))))),0)+IF($G31="Гладкий",0,IF(AND(OR($V31="Перли",$V31="Металік",$V31="Перл.зол.",$V31="Перл.ср.",$V31="Перл.зол.",$V31="Зор.н.ср.",$V31="Зор.н.зол.",$V31="Зор.н.різн.",$V31="Гума"),OR($F31=4,$F31=6,$F31=8,$F31=10,$F31=16),$H31=1),Просчет!$AI31*Прайс!$D$76,IF(AND(OR($V31="",$V31=0),$X31="Матове",OR($F31=4,$F31=6,$F31=8,$F31=10,$F31=16),$H31=1),Просчет!$AI31*Прайс!$D$73,IF(AND(OR($V31="",$V31=0),$X31="Глянець",OR($F31=4,$F31=6,$F31=8,$F31=10,$F31=16),$H31=1),Просчет!$AI31*Прайс!$D$75,IF(AND(OR($V31="",$V31=0),$G31="Софт(TS)",OR($F31=4,$F31=6,$F31=8,$F31=10,$F31=16),$H31=1),$AI31*Прайс!$D$74,IF(AND(OR($V31="",$V31=0),$X31="Матове покриття з патиною",OR($F31=4,$F31=6,$F31=8,$F31=10,$F31=16),$H31=1),$AI31*Прайс!$D$77,IF(AND(OR($V31="",$V31=0),$X31="Глянцеве покриття з патиною",OR($F31=4,$F31=6,$F31=8,$F31=10,$F31=16),$H31=1),$AI31*Прайс!$D$78,IF(AND(OR($V31="",$V31=0),$X31="Матовий DECAPE",OR($F31=4,$F31=6,$F31=8,$F31=10,$F31=16),$H31=1),$AI31*Прайс!$D$79,IF(AND(OR($V31="",$V31=0),$X31="Глянцевий DECAPE",OR($F31=4,$F31=6,$F31=8,$F31=10,$F31=16),$H31=1),$AI31*Прайс!$D$80,0)))))))))+IF($G31="Гладкий",0,IF(AND(OR($V31="Перли",$V31="Металік",$V31="Перл.зол.",$V31="Перл.ср.",$V31="Перл.зол.",$V31="Зор.н.ср.",$V31="Зор.н.зол.",$V31="Зор.н.різн.",$V31="Гума"),OR($F31=4,$F31=6,$F31=8,$F31=10,$F31=16),$H31=2),$AI31*Прайс!$E$76,IF(AND(OR($V31="",$V31=0),$X31="Матове",OR($F31=4,$F31=6,$F31=8,$F31=10,$F31=16),$H31=2),Просчет!$AI31*Прайс!$E$73,IF(AND(OR($V31="",$V31=0),$X31="Глянець",OR($F31=4,$F31=6,$F31=8,$F31=10,$F31=16),$H31=2),$AI31*Прайс!$E$75,IF(AND(OR($V31="",$V31=0),$X31="Софт(TS)",OR($F31=4,$F31=6,$F31=8,$F31=10,$F31=16),$H31=2),$AI31*Прайс!$E$74,IF(AND(OR($V31="",$V31=0),$X31="Матове покриття з патиною",OR($F31=4,$F31=6,$F31=8,$F31=10,$F31=16),$H31=2),$AI31*Прайс!$E$77,IF(AND(OR($V31="",$V31=0),$X31="Глянцеве покриття з патиною",OR($F31=4,$F31=6,$F31=8,$F31=10,$F31=16),$H31=2),$AI31*Прайс!$E$78,IF(AND(OR($V31="",$V31=0),$X31="Матовий DECAPE",OR($F31=4,$F31=6,$F31=8,$F31=10,$F31=16),$H31=2),$AI31*Прайс!$E$79,IF(AND(OR($V31="",$V31=0),$X31="Глянцевий DECAPE",OR($F31=4,$F31=6,$F31=8,$F31=10,$F31=16),$H31=2),$AI31*Прайс!$E$80,0)))))))))+IF(AND($S31=1,OR($H31=1,$H31=0),$X31=Наименование!$L$12,OR($F31=4,$F31=6,$F31=8,$F31=10,$F31=16)),$AI31*Прайс!$D$89,IF(AND($S31=1,OR($H31=1,$H31=0),$X31=Наименование!$L$13,OR($F31=4,$F31=6,$F31=8,$F31=10,$F31=16)),$AI31*Прайс!$D$90,IF(AND($S31=1,OR($H31=1,$H31=0),$X31=Наименование!$L51,OR($F31=4,$F31=6,$F31=8,$F31=10,$F31=16)),$AI31*Прайс!$D$91,IF(AND($S31=1,OR($H31=1,$H31=0),$X31=Наименование!$L$15,OR($F31=4,$F31=6,$F31=8,$F31=10,$F31=16)),$AI31*Прайс!$D$92,0))))+IF(AND($S31=1,$H31=2,$X31=Наименование!$L$12,OR($F31=4,$F31=6,$F31=8,$F31=10,$F31=16)),$AI31*Прайс!$E$89,IF(AND($S31=1,$H31=2,$X31=Наименование!$L$13,OR($F31=4,$F31=6,$F31=8,$F31=10,$F31=16)),$AI31*Прайс!$E$90,IF(AND($S31=1,$H31=2,$X31=Наименование!$L$14,OR($F31=4,$F31=6,$F31=8,$F31=10,$F31=16)),$AI31*Прайс!$E$91,IF(AND($S31=1,$H31=2,$X31=Наименование!$L$15,OR($F31=4,$F31=6,$F31=8,$F31=10,$F31=16)),$AI31*Прайс!$E$92))))</f>
        <v>0</v>
      </c>
      <c r="AA31" s="195">
        <f>IF($G31="Гладкий",IF(OR($C31=0,$C31=""),0,IF(AND(OR($V31="Перли",$V31="Металік",$V31="Перл.зол.",$V31="Перл.ср.",$V31="Перл.зол.",$V31="Зор.н.ср.",$V31="Зор.н.зол.",$V31="Зор.н.різн.",$V31="Гума"),$F31=19),$AI31*Прайс!$E$12,IF(AND(OR($V31="",$V31=0),$X31="Матове",$F31=19),$AI31*Прайс!$E$10,IF(AND(OR($V31="",$V31=0),$X31="Глянець",$F31=19),$AI31*Прайс!$E$11,IF(AND(OR($V31="",$V31=0),$X31="Софт(TS)",$F31=19),$AI31*Прайс!#REF!,0))))),0)+IF($G31="Гладкий",0,IF(AND(OR($V31="Перли",$V31="Металік",$V31="Перл.зол.",$V31="Перл.ср.",$V31="Перл.зол.",$V31="Зор.н.ср.",$V31="Зор.н.зол.",$V31="Зор.н.різн.",$V31="Гума"),$F31=19,$H31=1),Просчет!$AI31*Прайс!$F$76,IF(AND(OR($V31="",$V31=0),$X31="Матове",$F31=19,$H31=1),Просчет!$AI31*Прайс!$F$73,IF(AND(OR($V31="",$V31=0),$X31="Глянець",$F31=19,$H31=1),Просчет!$AI31*Прайс!$F$75,IF(AND(OR($V31="",$V31=0),$G31="Софт(TS)",$F31=19,$H31=1),$AI31*Прайс!$F$74,IF(AND(OR($V31="",$V31=0),$X31="Матове покриття з патиною",$F31=19,$H31=1),$AI31*Прайс!$F$77,IF(AND(OR($V31="",$V31=0),$X31="Глянцеве покриття з патиною",$F31=19,$H31=1),$AI31*Прайс!$F$78,IF(AND(OR($V31="",$V31=0),$X31="Матовий DECAPE",$F31=19,$H31=1),$AI31*Прайс!$F$79,IF(AND(OR($V31="",$V31=0),$X31="Глянцевий DECAPE",$F31=19,$H31=1),$AI31*Прайс!$F$80,0)))))))))+IF($G31="Гладкий",0,IF(AND(OR($V31="Перли",$V31="Металік",$V31="Перл.зол.",$V31="Перл.ср.",$V31="Перл.зол.",$V31="Зор.н.ср.",$V31="Зор.н.зол.",$V31="Зор.н.різн.",$V31="Гума"),$F31=19,$H31=2),$AI31*Прайс!$G$76,IF(AND(OR($V31="",$V31=0),$X31="Матове",$F31=19,$H31=2),Просчет!$AI31*Прайс!$G$73,IF(AND(OR($V31="",$V31=0),$X31="Глянець",$F31=19,$H31=2),$AI31*Прайс!$G$75,IF(AND(OR($V31="",$V31=0),$X31="Софт(TS)",$F31=19,$H31=2),$AI31*Прайс!$G$74,IF(AND(OR($V31="",$V31=0),$X31="Матове покриття з патиною",$F31=19,$H31=2),$AI31*Прайс!$G$77,IF(AND(OR($V31="",$V31=0),$X31="Глянцеве покриття з патиною",$F31=19,$H31=2),$AI31*Прайс!$G$78,IF(AND(OR($V31="",$V31=0),$X31="Матовий DECAPE",$F31=19,$H31=2),$AI31*Прайс!$G$79,IF(AND(OR($V31="",$V31=0),$X31="Глянцевий DECAPE",$F31=19,$H31=2),$AI31*Прайс!$G$78,0)))))))))+IF(AND($S31=1,OR($H31=1,$H31=0),$X31=Наименование!$L$12,$F31=19),$AI31*Прайс!$F$89,IF(AND($S31=1,OR($H31=1,$H31=0),$X31=Наименование!$L$13,$F31=19),$AI31*Прайс!$F$90,IF(AND($S31=1,OR($H31=1,$H31=0),$X31=Наименование!$L51,$F31=19),$AI31*Прайс!$F$91,IF(AND($S31=1,OR($H31=1,$H31=0),$X31=Наименование!$L$15,$F31=19),$AI31*Прайс!$F$92,0))))+IF(AND($S31=1,$H31=2,$X31=Наименование!$L$12,$F31=19),$AI31*Прайс!$G$89,IF(AND($S31=1,$H31=2,$X31=Наименование!$L$13,$F31=19),$AI31*Прайс!$G$90,IF(AND($S31=1,$H31=2,$X31=Наименование!$L$14,$F31=19),$AI31*Прайс!$G$91,IF(AND($S31=1,$H31=2,$X31=Наименование!$L$15,$F31=19),$AI31*Прайс!$G$92))))</f>
        <v>0</v>
      </c>
      <c r="AB31" s="195">
        <f>IF($G31="Гладкий",IF(OR($C31=0,$C31=""),0,IF($Y31="Матове",$AI31*(Прайс!$D$10-500),IF($Y31="Глянець",$AI31*(Прайс!$D$11-500),IF($Y31="Софт(TS)",$AI31*(Прайс!#REF!-500),0)))),0)+IF($G31="Гладкий",0,IF(AND($Y31="Матове",$H31=1),$AI31*Прайс!$D$73*0.5,IF(AND($Y31="Глянець",$H31=1),$AI31*Прайс!$D$75*0.5,IF(AND($Y31="Софт(TS)",$H31=1),$AI31*Прайс!$D$74*0.5,IF(AND($Y31="Матове покриття з патиною",$H31=1),$AI31*Прайс!$D$77*0.5,IF(AND($Y31="Глянцеве покриття з патиною",$H31=1),$AI31*Прайс!$D$78*0.5,IF(AND($Y31="Матовий DECAPE",$H31=1),$AI31*Прайс!$D$79*0.5,IF(AND($Y31="Глянцевий DECAPE",$H31=1),$AI31*Прайс!$D$80*0.5,0))))))))+IF($G31="Гладкий",0,IF(AND($Y31="Матове",$H31=2),$AI31*Прайс!$E$73*0.5,IF(AND($Y31="Глянець",$H31=2),$AI31*Прайс!$E$75*0.5,IF(AND($Y31="Софт(TS)",$H31=2),$AI31*Прайс!$E$74*0.5,IF(AND($Y31="Матове покриття з патиною",$H31=2),$AI31*Прайс!$E$77*0.5,IF(AND($Y31="Глянцеве покриття з патиною",$H31=2),$AI31*Прайс!$E$78*0.5,IF(AND($Y31="Матовий DECAPE",$H31=2),$AI31*Прайс!$E$79*0.5,IF(AND($Y31="Глянцевий DECAPE",$H31=2),$AI31*Прайс!$E$80*0.5,0)))))))+IF(AND($S31=1,OR($H31=1,$H31=0),$Y31=Прайс!$C$89),$AI31*[1]Прайс!$D$74*0.5,IF(AND($S31=1,OR($H31=1,$H31=0),$Y31=Прайс!$C$90),$AI31*Прайс!$D$90*0.5,IF(AND($S31=1,OR($H31=1,$H31=0),$Y31=Прайс!$C$91),$AI31*Прайс!$D$91*0.5,IF(AND($S31=1,OR($H31=1,$H31=0),$Y31=Прайс!$C$92),$AI31*Прайс!$D$92*0.5,0))))+IF(AND($S31=1,$H31=2,$Y31=Прайс!$C$89),$AI31*Прайс!$E$89*0.5,IF(AND($S31=1,$H31=2,$Y31=Прайс!$C$90),$AI31*Прайс!$E$90*0.5,IF(AND($S31=1,$H31=2,$Y31=Прайс!$C$91),$AI31*Прайс!$E$91*0.5,IF(AND($S31=1,$H31=2,$Y31=Прайс!$C$92),$AI31*Прайс!$E$92*0.5,0)))))</f>
        <v>0</v>
      </c>
      <c r="AC31" s="197" t="str">
        <f>IF(Бланк!AD48="","",Бланк!AD48*E31)</f>
        <v/>
      </c>
      <c r="AD31" s="195">
        <f>IF(OR($AC31=0,$AC31=""),0,$AC31*Прайс!$D$111)</f>
        <v>0</v>
      </c>
      <c r="AE31" s="197" t="str">
        <f>IF(Бланк!AE48="","",Бланк!AE48)</f>
        <v/>
      </c>
      <c r="AF31" s="197" t="str">
        <f>IF(Бланк!AF48="","",Бланк!AF48)</f>
        <v/>
      </c>
      <c r="AG31" s="197" t="str">
        <f>IF(Бланк!AG48="","",Бланк!AG48)</f>
        <v/>
      </c>
      <c r="AH31" s="197" t="str">
        <f>IF(Бланк!AH48="","",Бланк!AH48)</f>
        <v/>
      </c>
      <c r="AI31" s="139">
        <f>IF(Бланк!$AI48="","",Бланк!$AI48)</f>
        <v>0</v>
      </c>
      <c r="AJ31" s="198"/>
      <c r="AK31" s="198"/>
      <c r="AL31" s="198"/>
      <c r="AM31" s="199"/>
      <c r="AN31" s="199"/>
      <c r="AO31" s="199"/>
      <c r="AP31" s="199"/>
      <c r="AQ31" s="200"/>
      <c r="AR31" s="190"/>
    </row>
    <row r="32" spans="2:44" s="202" customFormat="1" ht="21" customHeight="1" x14ac:dyDescent="0.3">
      <c r="B32" s="201">
        <v>29</v>
      </c>
      <c r="C32" s="192" t="str">
        <f>IF(Бланк!$C49="","",Бланк!$C49/1000)</f>
        <v/>
      </c>
      <c r="D32" s="192" t="str">
        <f>IF(Бланк!$D49="","",Бланк!$D49/1000)</f>
        <v/>
      </c>
      <c r="E32" s="192" t="str">
        <f>IF(Бланк!$E49="","",Бланк!$E49)</f>
        <v/>
      </c>
      <c r="F32" s="192" t="str">
        <f>IF(Бланк!$F49="","",Бланк!$F49)</f>
        <v/>
      </c>
      <c r="G32" s="192" t="str">
        <f>IF(Бланк!$G49="","",Бланк!$G49)</f>
        <v/>
      </c>
      <c r="H32" s="193" t="str">
        <f>IF($G32="","",VLOOKUP($G32,Наименование!$M$42:$N$95,2,FALSE))</f>
        <v/>
      </c>
      <c r="I32" s="192" t="str">
        <f>IF(Бланк!$H49="","",Бланк!$H49)</f>
        <v/>
      </c>
      <c r="J32" s="192" t="str">
        <f>IF(Бланк!$I49="","",Бланк!$I49)</f>
        <v/>
      </c>
      <c r="K32" s="194" t="str">
        <f>IF(OR($J32="",$J32=0),"",IF($J32="Пряма з чвертю",(Прайс!$D$106+Прайс!$D$109)*Просчет!$E32,IF($J32="Пряма без чверті",Прайс!$D$106*Просчет!$E32,IF(AND($J32="Шпрос з чвертю",OR($C32&lt;1,$C32=1)),(Прайс!$D$37+Прайс!$D$40)*Просчет!$E32,IF(AND($J32="Шпрос з чвертю",$C32&gt;1),(Прайс!$F$37+Прайс!$D$40)*Просчет!$E32,IF(AND($J32="Шпрос без чверті",OR($C32&lt;1,$C32=1)),Прайс!$D$37*Просчет!$E32,IF(AND($J32="Шпрос без чверті",$C32&gt;1),Прайс!$F$37*Просчет!$E32,"")))))))</f>
        <v/>
      </c>
      <c r="L32" s="192" t="str">
        <f>IF(Бланк!$J49="","",Бланк!$J49/1000)</f>
        <v/>
      </c>
      <c r="M32" s="192" t="str">
        <f>IF(Бланк!$K49="","",Бланк!$K49)</f>
        <v/>
      </c>
      <c r="N32" s="195">
        <f t="shared" si="0"/>
        <v>0</v>
      </c>
      <c r="O32" s="194">
        <f>IF($G32="гладкий",IF($M32="","",IF(OR($M32="J № 1",$M32="J № 2",$M32="J № 2L",$M32="J № 2R",$M32="AJ № 2",$M32="AJ № 2L",$M32="AJ № 2R",$M32="U",$M32="V"),$N32*Прайс!$D$43,IF(OR($M32="AJ № 3R",$M32="AJ № 4R",$M32="AJ № 5R",$M32="AJ № 3L",$M32="AJ № 4L",$M32="AJ № 5L",$M32="AJ № 3",$M32="AJ № 4",$M32="AJ № 5",$M32="J № 3",$M32="J № 4",$M32="J № 5",$M32="J № 6",$M32="J № 7",$M32="L",$M32="AL"),Прайс!$D$43*$E32,IF(OR($M32="J № 3L",$M32="J № 3R",$M32="J № 4L",$M32="J № 4R",$M32="J № 5L",$M32="J № 5R"),$N32/2*Прайс!$D$47*$E32,IF($M32="45 град.",$N32*Прайс!$D$42,0))))),0)</f>
        <v>0</v>
      </c>
      <c r="P32" s="192" t="str">
        <f>IF(Бланк!$L49="","",Бланк!$L49)</f>
        <v/>
      </c>
      <c r="Q32" s="192" t="str">
        <f>IF(Бланк!$M49="","",Бланк!$M49)</f>
        <v/>
      </c>
      <c r="R32" s="194">
        <f>IF($P32="",0,IF($Q32=$U32,0,IF($Q32="",0,IF(OR($G32=35,$G32=36,$G32=37,$G32=38),Прайс!$D$118*Бланк!E49,IF(AND($G32="гладкий",OR($M32="J № 1",$M32="J № 2",$M32="J № 2L",$M32="J № 2R")),$N32*Прайс!$D$59,0)))))</f>
        <v>0</v>
      </c>
      <c r="S32" s="192" t="str">
        <f>IF(OR(Бланк!$O49=0,Бланк!$O49=""),"",1)</f>
        <v/>
      </c>
      <c r="T32" s="192" t="str">
        <f>IF(Бланк!$R49="","",Бланк!$R49)</f>
        <v/>
      </c>
      <c r="U32" s="192" t="str">
        <f>IF(Бланк!$S49="","",Бланк!$S49)</f>
        <v/>
      </c>
      <c r="V32" s="192" t="str">
        <f>IF(Бланк!$T49="","",Бланк!$T49)</f>
        <v/>
      </c>
      <c r="W32" s="196" t="str">
        <f>IF(Бланк!$W49="","",Бланк!$W49)</f>
        <v/>
      </c>
      <c r="X32" s="197" t="str">
        <f>IF(Бланк!AB49="","",Бланк!AB49)</f>
        <v/>
      </c>
      <c r="Y32" s="197" t="str">
        <f>IF(Бланк!AC49="","",Бланк!AC49)</f>
        <v/>
      </c>
      <c r="Z32" s="195">
        <f>IF($G32="Гладкий",IF(OR($C32=0,$C32=""),0,IF(AND(OR($V32="Перли",$V32="Металік",$V32="Перл.зол.",$V32="Перл.ср.",$V32="Перл.зол.",$V32="Зор.н.ср.",$V32="Зор.н.зол.",$V32="Зор.н.різн.",$V32="Гума"),OR($F32=4,$F32=6,$F32=8,$F32=10,$F32=16)),$AI32*Прайс!$D$12,IF(AND(OR($V32="",$V32=0),$X32="Матове",OR($F32=4,$F32=6,$F32=8,$F32=10,$F32=16)),$AI32*Прайс!$D$10,IF(AND(OR($V32="",$V32=0),$X32="Глянець",OR($F32=4,$F32=6,$F32=8,$F32=10,$F32=16)),$AI32*Прайс!$D$11,IF(AND(OR($V32="",$V32=0),$X32="Софт(TS)",OR($F32=4,$F32=6,$F32=8,$F32=10,$F32=16)),$AI32*Прайс!#REF!,0))))),0)+IF($G32="Гладкий",0,IF(AND(OR($V32="Перли",$V32="Металік",$V32="Перл.зол.",$V32="Перл.ср.",$V32="Перл.зол.",$V32="Зор.н.ср.",$V32="Зор.н.зол.",$V32="Зор.н.різн.",$V32="Гума"),OR($F32=4,$F32=6,$F32=8,$F32=10,$F32=16),$H32=1),Просчет!$AI32*Прайс!$D$76,IF(AND(OR($V32="",$V32=0),$X32="Матове",OR($F32=4,$F32=6,$F32=8,$F32=10,$F32=16),$H32=1),Просчет!$AI32*Прайс!$D$73,IF(AND(OR($V32="",$V32=0),$X32="Глянець",OR($F32=4,$F32=6,$F32=8,$F32=10,$F32=16),$H32=1),Просчет!$AI32*Прайс!$D$75,IF(AND(OR($V32="",$V32=0),$G32="Софт(TS)",OR($F32=4,$F32=6,$F32=8,$F32=10,$F32=16),$H32=1),$AI32*Прайс!$D$74,IF(AND(OR($V32="",$V32=0),$X32="Матове покриття з патиною",OR($F32=4,$F32=6,$F32=8,$F32=10,$F32=16),$H32=1),$AI32*Прайс!$D$77,IF(AND(OR($V32="",$V32=0),$X32="Глянцеве покриття з патиною",OR($F32=4,$F32=6,$F32=8,$F32=10,$F32=16),$H32=1),$AI32*Прайс!$D$78,IF(AND(OR($V32="",$V32=0),$X32="Матовий DECAPE",OR($F32=4,$F32=6,$F32=8,$F32=10,$F32=16),$H32=1),$AI32*Прайс!$D$79,IF(AND(OR($V32="",$V32=0),$X32="Глянцевий DECAPE",OR($F32=4,$F32=6,$F32=8,$F32=10,$F32=16),$H32=1),$AI32*Прайс!$D$80,0)))))))))+IF($G32="Гладкий",0,IF(AND(OR($V32="Перли",$V32="Металік",$V32="Перл.зол.",$V32="Перл.ср.",$V32="Перл.зол.",$V32="Зор.н.ср.",$V32="Зор.н.зол.",$V32="Зор.н.різн.",$V32="Гума"),OR($F32=4,$F32=6,$F32=8,$F32=10,$F32=16),$H32=2),$AI32*Прайс!$E$76,IF(AND(OR($V32="",$V32=0),$X32="Матове",OR($F32=4,$F32=6,$F32=8,$F32=10,$F32=16),$H32=2),Просчет!$AI32*Прайс!$E$73,IF(AND(OR($V32="",$V32=0),$X32="Глянець",OR($F32=4,$F32=6,$F32=8,$F32=10,$F32=16),$H32=2),$AI32*Прайс!$E$75,IF(AND(OR($V32="",$V32=0),$X32="Софт(TS)",OR($F32=4,$F32=6,$F32=8,$F32=10,$F32=16),$H32=2),$AI32*Прайс!$E$74,IF(AND(OR($V32="",$V32=0),$X32="Матове покриття з патиною",OR($F32=4,$F32=6,$F32=8,$F32=10,$F32=16),$H32=2),$AI32*Прайс!$E$77,IF(AND(OR($V32="",$V32=0),$X32="Глянцеве покриття з патиною",OR($F32=4,$F32=6,$F32=8,$F32=10,$F32=16),$H32=2),$AI32*Прайс!$E$78,IF(AND(OR($V32="",$V32=0),$X32="Матовий DECAPE",OR($F32=4,$F32=6,$F32=8,$F32=10,$F32=16),$H32=2),$AI32*Прайс!$E$79,IF(AND(OR($V32="",$V32=0),$X32="Глянцевий DECAPE",OR($F32=4,$F32=6,$F32=8,$F32=10,$F32=16),$H32=2),$AI32*Прайс!$E$80,0)))))))))+IF(AND($S32=1,OR($H32=1,$H32=0),$X32=Наименование!$L$12,OR($F32=4,$F32=6,$F32=8,$F32=10,$F32=16)),$AI32*Прайс!$D$89,IF(AND($S32=1,OR($H32=1,$H32=0),$X32=Наименование!$L$13,OR($F32=4,$F32=6,$F32=8,$F32=10,$F32=16)),$AI32*Прайс!$D$90,IF(AND($S32=1,OR($H32=1,$H32=0),$X32=Наименование!$L52,OR($F32=4,$F32=6,$F32=8,$F32=10,$F32=16)),$AI32*Прайс!$D$91,IF(AND($S32=1,OR($H32=1,$H32=0),$X32=Наименование!$L$15,OR($F32=4,$F32=6,$F32=8,$F32=10,$F32=16)),$AI32*Прайс!$D$92,0))))+IF(AND($S32=1,$H32=2,$X32=Наименование!$L$12,OR($F32=4,$F32=6,$F32=8,$F32=10,$F32=16)),$AI32*Прайс!$E$89,IF(AND($S32=1,$H32=2,$X32=Наименование!$L$13,OR($F32=4,$F32=6,$F32=8,$F32=10,$F32=16)),$AI32*Прайс!$E$90,IF(AND($S32=1,$H32=2,$X32=Наименование!$L$14,OR($F32=4,$F32=6,$F32=8,$F32=10,$F32=16)),$AI32*Прайс!$E$91,IF(AND($S32=1,$H32=2,$X32=Наименование!$L$15,OR($F32=4,$F32=6,$F32=8,$F32=10,$F32=16)),$AI32*Прайс!$E$92))))</f>
        <v>0</v>
      </c>
      <c r="AA32" s="195">
        <f>IF($G32="Гладкий",IF(OR($C32=0,$C32=""),0,IF(AND(OR($V32="Перли",$V32="Металік",$V32="Перл.зол.",$V32="Перл.ср.",$V32="Перл.зол.",$V32="Зор.н.ср.",$V32="Зор.н.зол.",$V32="Зор.н.різн.",$V32="Гума"),$F32=19),$AI32*Прайс!$E$12,IF(AND(OR($V32="",$V32=0),$X32="Матове",$F32=19),$AI32*Прайс!$E$10,IF(AND(OR($V32="",$V32=0),$X32="Глянець",$F32=19),$AI32*Прайс!$E$11,IF(AND(OR($V32="",$V32=0),$X32="Софт(TS)",$F32=19),$AI32*Прайс!#REF!,0))))),0)+IF($G32="Гладкий",0,IF(AND(OR($V32="Перли",$V32="Металік",$V32="Перл.зол.",$V32="Перл.ср.",$V32="Перл.зол.",$V32="Зор.н.ср.",$V32="Зор.н.зол.",$V32="Зор.н.різн.",$V32="Гума"),$F32=19,$H32=1),Просчет!$AI32*Прайс!$F$76,IF(AND(OR($V32="",$V32=0),$X32="Матове",$F32=19,$H32=1),Просчет!$AI32*Прайс!$F$73,IF(AND(OR($V32="",$V32=0),$X32="Глянець",$F32=19,$H32=1),Просчет!$AI32*Прайс!$F$75,IF(AND(OR($V32="",$V32=0),$G32="Софт(TS)",$F32=19,$H32=1),$AI32*Прайс!$F$74,IF(AND(OR($V32="",$V32=0),$X32="Матове покриття з патиною",$F32=19,$H32=1),$AI32*Прайс!$F$77,IF(AND(OR($V32="",$V32=0),$X32="Глянцеве покриття з патиною",$F32=19,$H32=1),$AI32*Прайс!$F$78,IF(AND(OR($V32="",$V32=0),$X32="Матовий DECAPE",$F32=19,$H32=1),$AI32*Прайс!$F$79,IF(AND(OR($V32="",$V32=0),$X32="Глянцевий DECAPE",$F32=19,$H32=1),$AI32*Прайс!$F$80,0)))))))))+IF($G32="Гладкий",0,IF(AND(OR($V32="Перли",$V32="Металік",$V32="Перл.зол.",$V32="Перл.ср.",$V32="Перл.зол.",$V32="Зор.н.ср.",$V32="Зор.н.зол.",$V32="Зор.н.різн.",$V32="Гума"),$F32=19,$H32=2),$AI32*Прайс!$G$76,IF(AND(OR($V32="",$V32=0),$X32="Матове",$F32=19,$H32=2),Просчет!$AI32*Прайс!$G$73,IF(AND(OR($V32="",$V32=0),$X32="Глянець",$F32=19,$H32=2),$AI32*Прайс!$G$75,IF(AND(OR($V32="",$V32=0),$X32="Софт(TS)",$F32=19,$H32=2),$AI32*Прайс!$G$74,IF(AND(OR($V32="",$V32=0),$X32="Матове покриття з патиною",$F32=19,$H32=2),$AI32*Прайс!$G$77,IF(AND(OR($V32="",$V32=0),$X32="Глянцеве покриття з патиною",$F32=19,$H32=2),$AI32*Прайс!$G$78,IF(AND(OR($V32="",$V32=0),$X32="Матовий DECAPE",$F32=19,$H32=2),$AI32*Прайс!$G$79,IF(AND(OR($V32="",$V32=0),$X32="Глянцевий DECAPE",$F32=19,$H32=2),$AI32*Прайс!$G$78,0)))))))))+IF(AND($S32=1,OR($H32=1,$H32=0),$X32=Наименование!$L$12,$F32=19),$AI32*Прайс!$F$89,IF(AND($S32=1,OR($H32=1,$H32=0),$X32=Наименование!$L$13,$F32=19),$AI32*Прайс!$F$90,IF(AND($S32=1,OR($H32=1,$H32=0),$X32=Наименование!$L52,$F32=19),$AI32*Прайс!$F$91,IF(AND($S32=1,OR($H32=1,$H32=0),$X32=Наименование!$L$15,$F32=19),$AI32*Прайс!$F$92,0))))+IF(AND($S32=1,$H32=2,$X32=Наименование!$L$12,$F32=19),$AI32*Прайс!$G$89,IF(AND($S32=1,$H32=2,$X32=Наименование!$L$13,$F32=19),$AI32*Прайс!$G$90,IF(AND($S32=1,$H32=2,$X32=Наименование!$L$14,$F32=19),$AI32*Прайс!$G$91,IF(AND($S32=1,$H32=2,$X32=Наименование!$L$15,$F32=19),$AI32*Прайс!$G$92))))</f>
        <v>0</v>
      </c>
      <c r="AB32" s="195">
        <f>IF($G32="Гладкий",IF(OR($C32=0,$C32=""),0,IF($Y32="Матове",$AI32*(Прайс!$D$10-500),IF($Y32="Глянець",$AI32*(Прайс!$D$11-500),IF($Y32="Софт(TS)",$AI32*(Прайс!#REF!-500),0)))),0)+IF($G32="Гладкий",0,IF(AND($Y32="Матове",$H32=1),$AI32*Прайс!$D$73*0.5,IF(AND($Y32="Глянець",$H32=1),$AI32*Прайс!$D$75*0.5,IF(AND($Y32="Софт(TS)",$H32=1),$AI32*Прайс!$D$74*0.5,IF(AND($Y32="Матове покриття з патиною",$H32=1),$AI32*Прайс!$D$77*0.5,IF(AND($Y32="Глянцеве покриття з патиною",$H32=1),$AI32*Прайс!$D$78*0.5,IF(AND($Y32="Матовий DECAPE",$H32=1),$AI32*Прайс!$D$79*0.5,IF(AND($Y32="Глянцевий DECAPE",$H32=1),$AI32*Прайс!$D$80*0.5,0))))))))+IF($G32="Гладкий",0,IF(AND($Y32="Матове",$H32=2),$AI32*Прайс!$E$73*0.5,IF(AND($Y32="Глянець",$H32=2),$AI32*Прайс!$E$75*0.5,IF(AND($Y32="Софт(TS)",$H32=2),$AI32*Прайс!$E$74*0.5,IF(AND($Y32="Матове покриття з патиною",$H32=2),$AI32*Прайс!$E$77*0.5,IF(AND($Y32="Глянцеве покриття з патиною",$H32=2),$AI32*Прайс!$E$78*0.5,IF(AND($Y32="Матовий DECAPE",$H32=2),$AI32*Прайс!$E$79*0.5,IF(AND($Y32="Глянцевий DECAPE",$H32=2),$AI32*Прайс!$E$80*0.5,0)))))))+IF(AND($S32=1,OR($H32=1,$H32=0),$Y32=Прайс!$C$89),$AI32*[1]Прайс!$D$74*0.5,IF(AND($S32=1,OR($H32=1,$H32=0),$Y32=Прайс!$C$90),$AI32*Прайс!$D$90*0.5,IF(AND($S32=1,OR($H32=1,$H32=0),$Y32=Прайс!$C$91),$AI32*Прайс!$D$91*0.5,IF(AND($S32=1,OR($H32=1,$H32=0),$Y32=Прайс!$C$92),$AI32*Прайс!$D$92*0.5,0))))+IF(AND($S32=1,$H32=2,$Y32=Прайс!$C$89),$AI32*Прайс!$E$89*0.5,IF(AND($S32=1,$H32=2,$Y32=Прайс!$C$90),$AI32*Прайс!$E$90*0.5,IF(AND($S32=1,$H32=2,$Y32=Прайс!$C$91),$AI32*Прайс!$E$91*0.5,IF(AND($S32=1,$H32=2,$Y32=Прайс!$C$92),$AI32*Прайс!$E$92*0.5,0)))))</f>
        <v>0</v>
      </c>
      <c r="AC32" s="197" t="str">
        <f>IF(Бланк!AD49="","",Бланк!AD49*E32)</f>
        <v/>
      </c>
      <c r="AD32" s="195">
        <f>IF(OR($AC32=0,$AC32=""),0,$AC32*Прайс!$D$111)</f>
        <v>0</v>
      </c>
      <c r="AE32" s="197" t="str">
        <f>IF(Бланк!AE49="","",Бланк!AE49)</f>
        <v/>
      </c>
      <c r="AF32" s="197" t="str">
        <f>IF(Бланк!AF49="","",Бланк!AF49)</f>
        <v/>
      </c>
      <c r="AG32" s="197" t="str">
        <f>IF(Бланк!AG49="","",Бланк!AG49)</f>
        <v/>
      </c>
      <c r="AH32" s="197" t="str">
        <f>IF(Бланк!AH49="","",Бланк!AH49)</f>
        <v/>
      </c>
      <c r="AI32" s="139">
        <f>IF(Бланк!$AI49="","",Бланк!$AI49)</f>
        <v>0</v>
      </c>
      <c r="AJ32" s="198"/>
      <c r="AK32" s="198"/>
      <c r="AL32" s="198"/>
      <c r="AM32" s="199"/>
      <c r="AN32" s="199"/>
      <c r="AO32" s="199"/>
      <c r="AP32" s="199"/>
      <c r="AQ32" s="200"/>
      <c r="AR32" s="190"/>
    </row>
    <row r="33" spans="2:44" s="202" customFormat="1" ht="21" customHeight="1" x14ac:dyDescent="0.3">
      <c r="B33" s="201">
        <v>30</v>
      </c>
      <c r="C33" s="192" t="str">
        <f>IF(Бланк!$C50="","",Бланк!$C50/1000)</f>
        <v/>
      </c>
      <c r="D33" s="192" t="str">
        <f>IF(Бланк!$D50="","",Бланк!$D50/1000)</f>
        <v/>
      </c>
      <c r="E33" s="192" t="str">
        <f>IF(Бланк!$E50="","",Бланк!$E50)</f>
        <v/>
      </c>
      <c r="F33" s="192" t="str">
        <f>IF(Бланк!$F50="","",Бланк!$F50)</f>
        <v/>
      </c>
      <c r="G33" s="192" t="str">
        <f>IF(Бланк!$G50="","",Бланк!$G50)</f>
        <v/>
      </c>
      <c r="H33" s="193" t="str">
        <f>IF($G33="","",VLOOKUP($G33,Наименование!$M$42:$N$95,2,FALSE))</f>
        <v/>
      </c>
      <c r="I33" s="192" t="str">
        <f>IF(Бланк!$H50="","",Бланк!$H50)</f>
        <v/>
      </c>
      <c r="J33" s="192" t="str">
        <f>IF(Бланк!$I50="","",Бланк!$I50)</f>
        <v/>
      </c>
      <c r="K33" s="194" t="str">
        <f>IF(OR($J33="",$J33=0),"",IF($J33="Пряма з чвертю",(Прайс!$D$106+Прайс!$D$109)*Просчет!$E33,IF($J33="Пряма без чверті",Прайс!$D$106*Просчет!$E33,IF(AND($J33="Шпрос з чвертю",OR($C33&lt;1,$C33=1)),(Прайс!$D$37+Прайс!$D$40)*Просчет!$E33,IF(AND($J33="Шпрос з чвертю",$C33&gt;1),(Прайс!$F$37+Прайс!$D$40)*Просчет!$E33,IF(AND($J33="Шпрос без чверті",OR($C33&lt;1,$C33=1)),Прайс!$D$37*Просчет!$E33,IF(AND($J33="Шпрос без чверті",$C33&gt;1),Прайс!$F$37*Просчет!$E33,"")))))))</f>
        <v/>
      </c>
      <c r="L33" s="192" t="str">
        <f>IF(Бланк!$J50="","",Бланк!$J50/1000)</f>
        <v/>
      </c>
      <c r="M33" s="192" t="str">
        <f>IF(Бланк!$K50="","",Бланк!$K50)</f>
        <v/>
      </c>
      <c r="N33" s="195">
        <f t="shared" si="0"/>
        <v>0</v>
      </c>
      <c r="O33" s="194">
        <f>IF($G33="гладкий",IF($M33="","",IF(OR($M33="J № 1",$M33="J № 2",$M33="J № 2L",$M33="J № 2R",$M33="AJ № 2",$M33="AJ № 2L",$M33="AJ № 2R",$M33="U",$M33="V"),$N33*Прайс!$D$43,IF(OR($M33="AJ № 3R",$M33="AJ № 4R",$M33="AJ № 5R",$M33="AJ № 3L",$M33="AJ № 4L",$M33="AJ № 5L",$M33="AJ № 3",$M33="AJ № 4",$M33="AJ № 5",$M33="J № 3",$M33="J № 4",$M33="J № 5",$M33="J № 6",$M33="J № 7",$M33="L",$M33="AL"),Прайс!$D$43*$E33,IF(OR($M33="J № 3L",$M33="J № 3R",$M33="J № 4L",$M33="J № 4R",$M33="J № 5L",$M33="J № 5R"),$N33/2*Прайс!$D$47*$E33,IF($M33="45 град.",$N33*Прайс!$D$42,0))))),0)</f>
        <v>0</v>
      </c>
      <c r="P33" s="192" t="str">
        <f>IF(Бланк!$L50="","",Бланк!$L50)</f>
        <v/>
      </c>
      <c r="Q33" s="192" t="str">
        <f>IF(Бланк!$M50="","",Бланк!$M50)</f>
        <v/>
      </c>
      <c r="R33" s="194">
        <f>IF($P33="",0,IF($Q33=$U33,0,IF($Q33="",0,IF(OR($G33=35,$G33=36,$G33=37,$G33=38),Прайс!$D$118*Бланк!E50,IF(AND($G33="гладкий",OR($M33="J № 1",$M33="J № 2",$M33="J № 2L",$M33="J № 2R")),$N33*Прайс!$D$59,0)))))</f>
        <v>0</v>
      </c>
      <c r="S33" s="192" t="str">
        <f>IF(OR(Бланк!$O50=0,Бланк!$O50=""),"",1)</f>
        <v/>
      </c>
      <c r="T33" s="192" t="str">
        <f>IF(Бланк!$R50="","",Бланк!$R50)</f>
        <v/>
      </c>
      <c r="U33" s="192" t="str">
        <f>IF(Бланк!$S50="","",Бланк!$S50)</f>
        <v/>
      </c>
      <c r="V33" s="192" t="str">
        <f>IF(Бланк!$T50="","",Бланк!$T50)</f>
        <v/>
      </c>
      <c r="W33" s="196" t="str">
        <f>IF(Бланк!$W50="","",Бланк!$W50)</f>
        <v/>
      </c>
      <c r="X33" s="197" t="str">
        <f>IF(Бланк!AB50="","",Бланк!AB50)</f>
        <v/>
      </c>
      <c r="Y33" s="197" t="str">
        <f>IF(Бланк!AC50="","",Бланк!AC50)</f>
        <v/>
      </c>
      <c r="Z33" s="195">
        <f>IF($G33="Гладкий",IF(OR($C33=0,$C33=""),0,IF(AND(OR($V33="Перли",$V33="Металік",$V33="Перл.зол.",$V33="Перл.ср.",$V33="Перл.зол.",$V33="Зор.н.ср.",$V33="Зор.н.зол.",$V33="Зор.н.різн.",$V33="Гума"),OR($F33=4,$F33=6,$F33=8,$F33=10,$F33=16)),$AI33*Прайс!$D$12,IF(AND(OR($V33="",$V33=0),$X33="Матове",OR($F33=4,$F33=6,$F33=8,$F33=10,$F33=16)),$AI33*Прайс!$D$10,IF(AND(OR($V33="",$V33=0),$X33="Глянець",OR($F33=4,$F33=6,$F33=8,$F33=10,$F33=16)),$AI33*Прайс!$D$11,IF(AND(OR($V33="",$V33=0),$X33="Софт(TS)",OR($F33=4,$F33=6,$F33=8,$F33=10,$F33=16)),$AI33*Прайс!#REF!,0))))),0)+IF($G33="Гладкий",0,IF(AND(OR($V33="Перли",$V33="Металік",$V33="Перл.зол.",$V33="Перл.ср.",$V33="Перл.зол.",$V33="Зор.н.ср.",$V33="Зор.н.зол.",$V33="Зор.н.різн.",$V33="Гума"),OR($F33=4,$F33=6,$F33=8,$F33=10,$F33=16),$H33=1),Просчет!$AI33*Прайс!$D$76,IF(AND(OR($V33="",$V33=0),$X33="Матове",OR($F33=4,$F33=6,$F33=8,$F33=10,$F33=16),$H33=1),Просчет!$AI33*Прайс!$D$73,IF(AND(OR($V33="",$V33=0),$X33="Глянець",OR($F33=4,$F33=6,$F33=8,$F33=10,$F33=16),$H33=1),Просчет!$AI33*Прайс!$D$75,IF(AND(OR($V33="",$V33=0),$G33="Софт(TS)",OR($F33=4,$F33=6,$F33=8,$F33=10,$F33=16),$H33=1),$AI33*Прайс!$D$74,IF(AND(OR($V33="",$V33=0),$X33="Матове покриття з патиною",OR($F33=4,$F33=6,$F33=8,$F33=10,$F33=16),$H33=1),$AI33*Прайс!$D$77,IF(AND(OR($V33="",$V33=0),$X33="Глянцеве покриття з патиною",OR($F33=4,$F33=6,$F33=8,$F33=10,$F33=16),$H33=1),$AI33*Прайс!$D$78,IF(AND(OR($V33="",$V33=0),$X33="Матовий DECAPE",OR($F33=4,$F33=6,$F33=8,$F33=10,$F33=16),$H33=1),$AI33*Прайс!$D$79,IF(AND(OR($V33="",$V33=0),$X33="Глянцевий DECAPE",OR($F33=4,$F33=6,$F33=8,$F33=10,$F33=16),$H33=1),$AI33*Прайс!$D$80,0)))))))))+IF($G33="Гладкий",0,IF(AND(OR($V33="Перли",$V33="Металік",$V33="Перл.зол.",$V33="Перл.ср.",$V33="Перл.зол.",$V33="Зор.н.ср.",$V33="Зор.н.зол.",$V33="Зор.н.різн.",$V33="Гума"),OR($F33=4,$F33=6,$F33=8,$F33=10,$F33=16),$H33=2),$AI33*Прайс!$E$76,IF(AND(OR($V33="",$V33=0),$X33="Матове",OR($F33=4,$F33=6,$F33=8,$F33=10,$F33=16),$H33=2),Просчет!$AI33*Прайс!$E$73,IF(AND(OR($V33="",$V33=0),$X33="Глянець",OR($F33=4,$F33=6,$F33=8,$F33=10,$F33=16),$H33=2),$AI33*Прайс!$E$75,IF(AND(OR($V33="",$V33=0),$X33="Софт(TS)",OR($F33=4,$F33=6,$F33=8,$F33=10,$F33=16),$H33=2),$AI33*Прайс!$E$74,IF(AND(OR($V33="",$V33=0),$X33="Матове покриття з патиною",OR($F33=4,$F33=6,$F33=8,$F33=10,$F33=16),$H33=2),$AI33*Прайс!$E$77,IF(AND(OR($V33="",$V33=0),$X33="Глянцеве покриття з патиною",OR($F33=4,$F33=6,$F33=8,$F33=10,$F33=16),$H33=2),$AI33*Прайс!$E$78,IF(AND(OR($V33="",$V33=0),$X33="Матовий DECAPE",OR($F33=4,$F33=6,$F33=8,$F33=10,$F33=16),$H33=2),$AI33*Прайс!$E$79,IF(AND(OR($V33="",$V33=0),$X33="Глянцевий DECAPE",OR($F33=4,$F33=6,$F33=8,$F33=10,$F33=16),$H33=2),$AI33*Прайс!$E$80,0)))))))))+IF(AND($S33=1,OR($H33=1,$H33=0),$X33=Наименование!$L$12,OR($F33=4,$F33=6,$F33=8,$F33=10,$F33=16)),$AI33*Прайс!$D$89,IF(AND($S33=1,OR($H33=1,$H33=0),$X33=Наименование!$L$13,OR($F33=4,$F33=6,$F33=8,$F33=10,$F33=16)),$AI33*Прайс!$D$90,IF(AND($S33=1,OR($H33=1,$H33=0),$X33=Наименование!$L53,OR($F33=4,$F33=6,$F33=8,$F33=10,$F33=16)),$AI33*Прайс!$D$91,IF(AND($S33=1,OR($H33=1,$H33=0),$X33=Наименование!$L$15,OR($F33=4,$F33=6,$F33=8,$F33=10,$F33=16)),$AI33*Прайс!$D$92,0))))+IF(AND($S33=1,$H33=2,$X33=Наименование!$L$12,OR($F33=4,$F33=6,$F33=8,$F33=10,$F33=16)),$AI33*Прайс!$E$89,IF(AND($S33=1,$H33=2,$X33=Наименование!$L$13,OR($F33=4,$F33=6,$F33=8,$F33=10,$F33=16)),$AI33*Прайс!$E$90,IF(AND($S33=1,$H33=2,$X33=Наименование!$L$14,OR($F33=4,$F33=6,$F33=8,$F33=10,$F33=16)),$AI33*Прайс!$E$91,IF(AND($S33=1,$H33=2,$X33=Наименование!$L$15,OR($F33=4,$F33=6,$F33=8,$F33=10,$F33=16)),$AI33*Прайс!$E$92))))</f>
        <v>0</v>
      </c>
      <c r="AA33" s="195">
        <f>IF($G33="Гладкий",IF(OR($C33=0,$C33=""),0,IF(AND(OR($V33="Перли",$V33="Металік",$V33="Перл.зол.",$V33="Перл.ср.",$V33="Перл.зол.",$V33="Зор.н.ср.",$V33="Зор.н.зол.",$V33="Зор.н.різн.",$V33="Гума"),$F33=19),$AI33*Прайс!$E$12,IF(AND(OR($V33="",$V33=0),$X33="Матове",$F33=19),$AI33*Прайс!$E$10,IF(AND(OR($V33="",$V33=0),$X33="Глянець",$F33=19),$AI33*Прайс!$E$11,IF(AND(OR($V33="",$V33=0),$X33="Софт(TS)",$F33=19),$AI33*Прайс!#REF!,0))))),0)+IF($G33="Гладкий",0,IF(AND(OR($V33="Перли",$V33="Металік",$V33="Перл.зол.",$V33="Перл.ср.",$V33="Перл.зол.",$V33="Зор.н.ср.",$V33="Зор.н.зол.",$V33="Зор.н.різн.",$V33="Гума"),$F33=19,$H33=1),Просчет!$AI33*Прайс!$F$76,IF(AND(OR($V33="",$V33=0),$X33="Матове",$F33=19,$H33=1),Просчет!$AI33*Прайс!$F$73,IF(AND(OR($V33="",$V33=0),$X33="Глянець",$F33=19,$H33=1),Просчет!$AI33*Прайс!$F$75,IF(AND(OR($V33="",$V33=0),$G33="Софт(TS)",$F33=19,$H33=1),$AI33*Прайс!$F$74,IF(AND(OR($V33="",$V33=0),$X33="Матове покриття з патиною",$F33=19,$H33=1),$AI33*Прайс!$F$77,IF(AND(OR($V33="",$V33=0),$X33="Глянцеве покриття з патиною",$F33=19,$H33=1),$AI33*Прайс!$F$78,IF(AND(OR($V33="",$V33=0),$X33="Матовий DECAPE",$F33=19,$H33=1),$AI33*Прайс!$F$79,IF(AND(OR($V33="",$V33=0),$X33="Глянцевий DECAPE",$F33=19,$H33=1),$AI33*Прайс!$F$80,0)))))))))+IF($G33="Гладкий",0,IF(AND(OR($V33="Перли",$V33="Металік",$V33="Перл.зол.",$V33="Перл.ср.",$V33="Перл.зол.",$V33="Зор.н.ср.",$V33="Зор.н.зол.",$V33="Зор.н.різн.",$V33="Гума"),$F33=19,$H33=2),$AI33*Прайс!$G$76,IF(AND(OR($V33="",$V33=0),$X33="Матове",$F33=19,$H33=2),Просчет!$AI33*Прайс!$G$73,IF(AND(OR($V33="",$V33=0),$X33="Глянець",$F33=19,$H33=2),$AI33*Прайс!$G$75,IF(AND(OR($V33="",$V33=0),$X33="Софт(TS)",$F33=19,$H33=2),$AI33*Прайс!$G$74,IF(AND(OR($V33="",$V33=0),$X33="Матове покриття з патиною",$F33=19,$H33=2),$AI33*Прайс!$G$77,IF(AND(OR($V33="",$V33=0),$X33="Глянцеве покриття з патиною",$F33=19,$H33=2),$AI33*Прайс!$G$78,IF(AND(OR($V33="",$V33=0),$X33="Матовий DECAPE",$F33=19,$H33=2),$AI33*Прайс!$G$79,IF(AND(OR($V33="",$V33=0),$X33="Глянцевий DECAPE",$F33=19,$H33=2),$AI33*Прайс!$G$78,0)))))))))+IF(AND($S33=1,OR($H33=1,$H33=0),$X33=Наименование!$L$12,$F33=19),$AI33*Прайс!$F$89,IF(AND($S33=1,OR($H33=1,$H33=0),$X33=Наименование!$L$13,$F33=19),$AI33*Прайс!$F$90,IF(AND($S33=1,OR($H33=1,$H33=0),$X33=Наименование!$L53,$F33=19),$AI33*Прайс!$F$91,IF(AND($S33=1,OR($H33=1,$H33=0),$X33=Наименование!$L$15,$F33=19),$AI33*Прайс!$F$92,0))))+IF(AND($S33=1,$H33=2,$X33=Наименование!$L$12,$F33=19),$AI33*Прайс!$G$89,IF(AND($S33=1,$H33=2,$X33=Наименование!$L$13,$F33=19),$AI33*Прайс!$G$90,IF(AND($S33=1,$H33=2,$X33=Наименование!$L$14,$F33=19),$AI33*Прайс!$G$91,IF(AND($S33=1,$H33=2,$X33=Наименование!$L$15,$F33=19),$AI33*Прайс!$G$92))))</f>
        <v>0</v>
      </c>
      <c r="AB33" s="195">
        <f>IF($G33="Гладкий",IF(OR($C33=0,$C33=""),0,IF($Y33="Матове",$AI33*(Прайс!$D$10-500),IF($Y33="Глянець",$AI33*(Прайс!$D$11-500),IF($Y33="Софт(TS)",$AI33*(Прайс!#REF!-500),0)))),0)+IF($G33="Гладкий",0,IF(AND($Y33="Матове",$H33=1),$AI33*Прайс!$D$73*0.5,IF(AND($Y33="Глянець",$H33=1),$AI33*Прайс!$D$75*0.5,IF(AND($Y33="Софт(TS)",$H33=1),$AI33*Прайс!$D$74*0.5,IF(AND($Y33="Матове покриття з патиною",$H33=1),$AI33*Прайс!$D$77*0.5,IF(AND($Y33="Глянцеве покриття з патиною",$H33=1),$AI33*Прайс!$D$78*0.5,IF(AND($Y33="Матовий DECAPE",$H33=1),$AI33*Прайс!$D$79*0.5,IF(AND($Y33="Глянцевий DECAPE",$H33=1),$AI33*Прайс!$D$80*0.5,0))))))))+IF($G33="Гладкий",0,IF(AND($Y33="Матове",$H33=2),$AI33*Прайс!$E$73*0.5,IF(AND($Y33="Глянець",$H33=2),$AI33*Прайс!$E$75*0.5,IF(AND($Y33="Софт(TS)",$H33=2),$AI33*Прайс!$E$74*0.5,IF(AND($Y33="Матове покриття з патиною",$H33=2),$AI33*Прайс!$E$77*0.5,IF(AND($Y33="Глянцеве покриття з патиною",$H33=2),$AI33*Прайс!$E$78*0.5,IF(AND($Y33="Матовий DECAPE",$H33=2),$AI33*Прайс!$E$79*0.5,IF(AND($Y33="Глянцевий DECAPE",$H33=2),$AI33*Прайс!$E$80*0.5,0)))))))+IF(AND($S33=1,OR($H33=1,$H33=0),$Y33=Прайс!$C$89),$AI33*[1]Прайс!$D$74*0.5,IF(AND($S33=1,OR($H33=1,$H33=0),$Y33=Прайс!$C$90),$AI33*Прайс!$D$90*0.5,IF(AND($S33=1,OR($H33=1,$H33=0),$Y33=Прайс!$C$91),$AI33*Прайс!$D$91*0.5,IF(AND($S33=1,OR($H33=1,$H33=0),$Y33=Прайс!$C$92),$AI33*Прайс!$D$92*0.5,0))))+IF(AND($S33=1,$H33=2,$Y33=Прайс!$C$89),$AI33*Прайс!$E$89*0.5,IF(AND($S33=1,$H33=2,$Y33=Прайс!$C$90),$AI33*Прайс!$E$90*0.5,IF(AND($S33=1,$H33=2,$Y33=Прайс!$C$91),$AI33*Прайс!$E$91*0.5,IF(AND($S33=1,$H33=2,$Y33=Прайс!$C$92),$AI33*Прайс!$E$92*0.5,0)))))</f>
        <v>0</v>
      </c>
      <c r="AC33" s="197" t="str">
        <f>IF(Бланк!AD50="","",Бланк!AD50*E33)</f>
        <v/>
      </c>
      <c r="AD33" s="195">
        <f>IF(OR($AC33=0,$AC33=""),0,$AC33*Прайс!$D$111)</f>
        <v>0</v>
      </c>
      <c r="AE33" s="197" t="str">
        <f>IF(Бланк!AE50="","",Бланк!AE50)</f>
        <v/>
      </c>
      <c r="AF33" s="197" t="str">
        <f>IF(Бланк!AF50="","",Бланк!AF50)</f>
        <v/>
      </c>
      <c r="AG33" s="197" t="str">
        <f>IF(Бланк!AG50="","",Бланк!AG50)</f>
        <v/>
      </c>
      <c r="AH33" s="197" t="str">
        <f>IF(Бланк!AH50="","",Бланк!AH50)</f>
        <v/>
      </c>
      <c r="AI33" s="139">
        <f>IF(Бланк!$AI50="","",Бланк!$AI50)</f>
        <v>0</v>
      </c>
      <c r="AJ33" s="198"/>
      <c r="AK33" s="198"/>
      <c r="AL33" s="198"/>
      <c r="AM33" s="199"/>
      <c r="AN33" s="199"/>
      <c r="AO33" s="199"/>
      <c r="AP33" s="199"/>
      <c r="AQ33" s="200"/>
      <c r="AR33" s="190"/>
    </row>
    <row r="34" spans="2:44" s="202" customFormat="1" ht="21" customHeight="1" x14ac:dyDescent="0.3">
      <c r="B34" s="201">
        <v>31</v>
      </c>
      <c r="C34" s="192" t="str">
        <f>IF(Бланк!$C51="","",Бланк!$C51/1000)</f>
        <v/>
      </c>
      <c r="D34" s="192" t="str">
        <f>IF(Бланк!$D51="","",Бланк!$D51/1000)</f>
        <v/>
      </c>
      <c r="E34" s="192" t="str">
        <f>IF(Бланк!$E51="","",Бланк!$E51)</f>
        <v/>
      </c>
      <c r="F34" s="192" t="str">
        <f>IF(Бланк!$F51="","",Бланк!$F51)</f>
        <v/>
      </c>
      <c r="G34" s="192" t="str">
        <f>IF(Бланк!$G51="","",Бланк!$G51)</f>
        <v/>
      </c>
      <c r="H34" s="193" t="str">
        <f>IF($G34="","",VLOOKUP($G34,Наименование!$M$42:$N$95,2,FALSE))</f>
        <v/>
      </c>
      <c r="I34" s="192" t="str">
        <f>IF(Бланк!$H51="","",Бланк!$H51)</f>
        <v/>
      </c>
      <c r="J34" s="192" t="str">
        <f>IF(Бланк!$I51="","",Бланк!$I51)</f>
        <v/>
      </c>
      <c r="K34" s="194" t="str">
        <f>IF(OR($J34="",$J34=0),"",IF($J34="Пряма з чвертю",(Прайс!$D$106+Прайс!$D$109)*Просчет!$E34,IF($J34="Пряма без чверті",Прайс!$D$106*Просчет!$E34,IF(AND($J34="Шпрос з чвертю",OR($C34&lt;1,$C34=1)),(Прайс!$D$37+Прайс!$D$40)*Просчет!$E34,IF(AND($J34="Шпрос з чвертю",$C34&gt;1),(Прайс!$F$37+Прайс!$D$40)*Просчет!$E34,IF(AND($J34="Шпрос без чверті",OR($C34&lt;1,$C34=1)),Прайс!$D$37*Просчет!$E34,IF(AND($J34="Шпрос без чверті",$C34&gt;1),Прайс!$F$37*Просчет!$E34,"")))))))</f>
        <v/>
      </c>
      <c r="L34" s="192" t="str">
        <f>IF(Бланк!$J51="","",Бланк!$J51/1000)</f>
        <v/>
      </c>
      <c r="M34" s="192" t="str">
        <f>IF(Бланк!$K51="","",Бланк!$K51)</f>
        <v/>
      </c>
      <c r="N34" s="195">
        <f t="shared" si="0"/>
        <v>0</v>
      </c>
      <c r="O34" s="194">
        <f>IF($G34="гладкий",IF($M34="","",IF(OR($M34="J № 1",$M34="J № 2",$M34="J № 2L",$M34="J № 2R",$M34="AJ № 2",$M34="AJ № 2L",$M34="AJ № 2R",$M34="U",$M34="V"),$N34*Прайс!$D$43,IF(OR($M34="AJ № 3R",$M34="AJ № 4R",$M34="AJ № 5R",$M34="AJ № 3L",$M34="AJ № 4L",$M34="AJ № 5L",$M34="AJ № 3",$M34="AJ № 4",$M34="AJ № 5",$M34="J № 3",$M34="J № 4",$M34="J № 5",$M34="J № 6",$M34="J № 7",$M34="L",$M34="AL"),Прайс!$D$43*$E34,IF(OR($M34="J № 3L",$M34="J № 3R",$M34="J № 4L",$M34="J № 4R",$M34="J № 5L",$M34="J № 5R"),$N34/2*Прайс!$D$47*$E34,IF($M34="45 град.",$N34*Прайс!$D$42,0))))),0)</f>
        <v>0</v>
      </c>
      <c r="P34" s="192" t="str">
        <f>IF(Бланк!$L51="","",Бланк!$L51)</f>
        <v/>
      </c>
      <c r="Q34" s="192" t="str">
        <f>IF(Бланк!$M51="","",Бланк!$M51)</f>
        <v/>
      </c>
      <c r="R34" s="194">
        <f>IF($P34="",0,IF($Q34=$U34,0,IF($Q34="",0,IF(OR($G34=35,$G34=36,$G34=37,$G34=38),Прайс!$D$118*Бланк!E51,IF(AND($G34="гладкий",OR($M34="J № 1",$M34="J № 2",$M34="J № 2L",$M34="J № 2R")),$N34*Прайс!$D$59,0)))))</f>
        <v>0</v>
      </c>
      <c r="S34" s="192" t="str">
        <f>IF(OR(Бланк!$O51=0,Бланк!$O51=""),"",1)</f>
        <v/>
      </c>
      <c r="T34" s="192" t="str">
        <f>IF(Бланк!$R51="","",Бланк!$R51)</f>
        <v/>
      </c>
      <c r="U34" s="192" t="str">
        <f>IF(Бланк!$S51="","",Бланк!$S51)</f>
        <v/>
      </c>
      <c r="V34" s="192" t="str">
        <f>IF(Бланк!$T51="","",Бланк!$T51)</f>
        <v/>
      </c>
      <c r="W34" s="196" t="str">
        <f>IF(Бланк!$W51="","",Бланк!$W51)</f>
        <v/>
      </c>
      <c r="X34" s="197" t="str">
        <f>IF(Бланк!AB51="","",Бланк!AB51)</f>
        <v/>
      </c>
      <c r="Y34" s="197" t="str">
        <f>IF(Бланк!AC51="","",Бланк!AC51)</f>
        <v/>
      </c>
      <c r="Z34" s="195">
        <f>IF($G34="Гладкий",IF(OR($C34=0,$C34=""),0,IF(AND(OR($V34="Перли",$V34="Металік",$V34="Перл.зол.",$V34="Перл.ср.",$V34="Перл.зол.",$V34="Зор.н.ср.",$V34="Зор.н.зол.",$V34="Зор.н.різн.",$V34="Гума"),OR($F34=4,$F34=6,$F34=8,$F34=10,$F34=16)),$AI34*Прайс!$D$12,IF(AND(OR($V34="",$V34=0),$X34="Матове",OR($F34=4,$F34=6,$F34=8,$F34=10,$F34=16)),$AI34*Прайс!$D$10,IF(AND(OR($V34="",$V34=0),$X34="Глянець",OR($F34=4,$F34=6,$F34=8,$F34=10,$F34=16)),$AI34*Прайс!$D$11,IF(AND(OR($V34="",$V34=0),$X34="Софт(TS)",OR($F34=4,$F34=6,$F34=8,$F34=10,$F34=16)),$AI34*Прайс!#REF!,0))))),0)+IF($G34="Гладкий",0,IF(AND(OR($V34="Перли",$V34="Металік",$V34="Перл.зол.",$V34="Перл.ср.",$V34="Перл.зол.",$V34="Зор.н.ср.",$V34="Зор.н.зол.",$V34="Зор.н.різн.",$V34="Гума"),OR($F34=4,$F34=6,$F34=8,$F34=10,$F34=16),$H34=1),Просчет!$AI34*Прайс!$D$76,IF(AND(OR($V34="",$V34=0),$X34="Матове",OR($F34=4,$F34=6,$F34=8,$F34=10,$F34=16),$H34=1),Просчет!$AI34*Прайс!$D$73,IF(AND(OR($V34="",$V34=0),$X34="Глянець",OR($F34=4,$F34=6,$F34=8,$F34=10,$F34=16),$H34=1),Просчет!$AI34*Прайс!$D$75,IF(AND(OR($V34="",$V34=0),$G34="Софт(TS)",OR($F34=4,$F34=6,$F34=8,$F34=10,$F34=16),$H34=1),$AI34*Прайс!$D$74,IF(AND(OR($V34="",$V34=0),$X34="Матове покриття з патиною",OR($F34=4,$F34=6,$F34=8,$F34=10,$F34=16),$H34=1),$AI34*Прайс!$D$77,IF(AND(OR($V34="",$V34=0),$X34="Глянцеве покриття з патиною",OR($F34=4,$F34=6,$F34=8,$F34=10,$F34=16),$H34=1),$AI34*Прайс!$D$78,IF(AND(OR($V34="",$V34=0),$X34="Матовий DECAPE",OR($F34=4,$F34=6,$F34=8,$F34=10,$F34=16),$H34=1),$AI34*Прайс!$D$79,IF(AND(OR($V34="",$V34=0),$X34="Глянцевий DECAPE",OR($F34=4,$F34=6,$F34=8,$F34=10,$F34=16),$H34=1),$AI34*Прайс!$D$80,0)))))))))+IF($G34="Гладкий",0,IF(AND(OR($V34="Перли",$V34="Металік",$V34="Перл.зол.",$V34="Перл.ср.",$V34="Перл.зол.",$V34="Зор.н.ср.",$V34="Зор.н.зол.",$V34="Зор.н.різн.",$V34="Гума"),OR($F34=4,$F34=6,$F34=8,$F34=10,$F34=16),$H34=2),$AI34*Прайс!$E$76,IF(AND(OR($V34="",$V34=0),$X34="Матове",OR($F34=4,$F34=6,$F34=8,$F34=10,$F34=16),$H34=2),Просчет!$AI34*Прайс!$E$73,IF(AND(OR($V34="",$V34=0),$X34="Глянець",OR($F34=4,$F34=6,$F34=8,$F34=10,$F34=16),$H34=2),$AI34*Прайс!$E$75,IF(AND(OR($V34="",$V34=0),$X34="Софт(TS)",OR($F34=4,$F34=6,$F34=8,$F34=10,$F34=16),$H34=2),$AI34*Прайс!$E$74,IF(AND(OR($V34="",$V34=0),$X34="Матове покриття з патиною",OR($F34=4,$F34=6,$F34=8,$F34=10,$F34=16),$H34=2),$AI34*Прайс!$E$77,IF(AND(OR($V34="",$V34=0),$X34="Глянцеве покриття з патиною",OR($F34=4,$F34=6,$F34=8,$F34=10,$F34=16),$H34=2),$AI34*Прайс!$E$78,IF(AND(OR($V34="",$V34=0),$X34="Матовий DECAPE",OR($F34=4,$F34=6,$F34=8,$F34=10,$F34=16),$H34=2),$AI34*Прайс!$E$79,IF(AND(OR($V34="",$V34=0),$X34="Глянцевий DECAPE",OR($F34=4,$F34=6,$F34=8,$F34=10,$F34=16),$H34=2),$AI34*Прайс!$E$80,0)))))))))+IF(AND($S34=1,OR($H34=1,$H34=0),$X34=Наименование!$L$12,OR($F34=4,$F34=6,$F34=8,$F34=10,$F34=16)),$AI34*Прайс!$D$89,IF(AND($S34=1,OR($H34=1,$H34=0),$X34=Наименование!$L$13,OR($F34=4,$F34=6,$F34=8,$F34=10,$F34=16)),$AI34*Прайс!$D$90,IF(AND($S34=1,OR($H34=1,$H34=0),$X34=Наименование!$L54,OR($F34=4,$F34=6,$F34=8,$F34=10,$F34=16)),$AI34*Прайс!$D$91,IF(AND($S34=1,OR($H34=1,$H34=0),$X34=Наименование!$L$15,OR($F34=4,$F34=6,$F34=8,$F34=10,$F34=16)),$AI34*Прайс!$D$92,0))))+IF(AND($S34=1,$H34=2,$X34=Наименование!$L$12,OR($F34=4,$F34=6,$F34=8,$F34=10,$F34=16)),$AI34*Прайс!$E$89,IF(AND($S34=1,$H34=2,$X34=Наименование!$L$13,OR($F34=4,$F34=6,$F34=8,$F34=10,$F34=16)),$AI34*Прайс!$E$90,IF(AND($S34=1,$H34=2,$X34=Наименование!$L$14,OR($F34=4,$F34=6,$F34=8,$F34=10,$F34=16)),$AI34*Прайс!$E$91,IF(AND($S34=1,$H34=2,$X34=Наименование!$L$15,OR($F34=4,$F34=6,$F34=8,$F34=10,$F34=16)),$AI34*Прайс!$E$92))))</f>
        <v>0</v>
      </c>
      <c r="AA34" s="195">
        <f>IF($G34="Гладкий",IF(OR($C34=0,$C34=""),0,IF(AND(OR($V34="Перли",$V34="Металік",$V34="Перл.зол.",$V34="Перл.ср.",$V34="Перл.зол.",$V34="Зор.н.ср.",$V34="Зор.н.зол.",$V34="Зор.н.різн.",$V34="Гума"),$F34=19),$AI34*Прайс!$E$12,IF(AND(OR($V34="",$V34=0),$X34="Матове",$F34=19),$AI34*Прайс!$E$10,IF(AND(OR($V34="",$V34=0),$X34="Глянець",$F34=19),$AI34*Прайс!$E$11,IF(AND(OR($V34="",$V34=0),$X34="Софт(TS)",$F34=19),$AI34*Прайс!#REF!,0))))),0)+IF($G34="Гладкий",0,IF(AND(OR($V34="Перли",$V34="Металік",$V34="Перл.зол.",$V34="Перл.ср.",$V34="Перл.зол.",$V34="Зор.н.ср.",$V34="Зор.н.зол.",$V34="Зор.н.різн.",$V34="Гума"),$F34=19,$H34=1),Просчет!$AI34*Прайс!$F$76,IF(AND(OR($V34="",$V34=0),$X34="Матове",$F34=19,$H34=1),Просчет!$AI34*Прайс!$F$73,IF(AND(OR($V34="",$V34=0),$X34="Глянець",$F34=19,$H34=1),Просчет!$AI34*Прайс!$F$75,IF(AND(OR($V34="",$V34=0),$G34="Софт(TS)",$F34=19,$H34=1),$AI34*Прайс!$F$74,IF(AND(OR($V34="",$V34=0),$X34="Матове покриття з патиною",$F34=19,$H34=1),$AI34*Прайс!$F$77,IF(AND(OR($V34="",$V34=0),$X34="Глянцеве покриття з патиною",$F34=19,$H34=1),$AI34*Прайс!$F$78,IF(AND(OR($V34="",$V34=0),$X34="Матовий DECAPE",$F34=19,$H34=1),$AI34*Прайс!$F$79,IF(AND(OR($V34="",$V34=0),$X34="Глянцевий DECAPE",$F34=19,$H34=1),$AI34*Прайс!$F$80,0)))))))))+IF($G34="Гладкий",0,IF(AND(OR($V34="Перли",$V34="Металік",$V34="Перл.зол.",$V34="Перл.ср.",$V34="Перл.зол.",$V34="Зор.н.ср.",$V34="Зор.н.зол.",$V34="Зор.н.різн.",$V34="Гума"),$F34=19,$H34=2),$AI34*Прайс!$G$76,IF(AND(OR($V34="",$V34=0),$X34="Матове",$F34=19,$H34=2),Просчет!$AI34*Прайс!$G$73,IF(AND(OR($V34="",$V34=0),$X34="Глянець",$F34=19,$H34=2),$AI34*Прайс!$G$75,IF(AND(OR($V34="",$V34=0),$X34="Софт(TS)",$F34=19,$H34=2),$AI34*Прайс!$G$74,IF(AND(OR($V34="",$V34=0),$X34="Матове покриття з патиною",$F34=19,$H34=2),$AI34*Прайс!$G$77,IF(AND(OR($V34="",$V34=0),$X34="Глянцеве покриття з патиною",$F34=19,$H34=2),$AI34*Прайс!$G$78,IF(AND(OR($V34="",$V34=0),$X34="Матовий DECAPE",$F34=19,$H34=2),$AI34*Прайс!$G$79,IF(AND(OR($V34="",$V34=0),$X34="Глянцевий DECAPE",$F34=19,$H34=2),$AI34*Прайс!$G$78,0)))))))))+IF(AND($S34=1,OR($H34=1,$H34=0),$X34=Наименование!$L$12,$F34=19),$AI34*Прайс!$F$89,IF(AND($S34=1,OR($H34=1,$H34=0),$X34=Наименование!$L$13,$F34=19),$AI34*Прайс!$F$90,IF(AND($S34=1,OR($H34=1,$H34=0),$X34=Наименование!$L54,$F34=19),$AI34*Прайс!$F$91,IF(AND($S34=1,OR($H34=1,$H34=0),$X34=Наименование!$L$15,$F34=19),$AI34*Прайс!$F$92,0))))+IF(AND($S34=1,$H34=2,$X34=Наименование!$L$12,$F34=19),$AI34*Прайс!$G$89,IF(AND($S34=1,$H34=2,$X34=Наименование!$L$13,$F34=19),$AI34*Прайс!$G$90,IF(AND($S34=1,$H34=2,$X34=Наименование!$L$14,$F34=19),$AI34*Прайс!$G$91,IF(AND($S34=1,$H34=2,$X34=Наименование!$L$15,$F34=19),$AI34*Прайс!$G$92))))</f>
        <v>0</v>
      </c>
      <c r="AB34" s="195">
        <f>IF($G34="Гладкий",IF(OR($C34=0,$C34=""),0,IF($Y34="Матове",$AI34*(Прайс!$D$10-500),IF($Y34="Глянець",$AI34*(Прайс!$D$11-500),IF($Y34="Софт(TS)",$AI34*(Прайс!#REF!-500),0)))),0)+IF($G34="Гладкий",0,IF(AND($Y34="Матове",$H34=1),$AI34*Прайс!$D$73*0.5,IF(AND($Y34="Глянець",$H34=1),$AI34*Прайс!$D$75*0.5,IF(AND($Y34="Софт(TS)",$H34=1),$AI34*Прайс!$D$74*0.5,IF(AND($Y34="Матове покриття з патиною",$H34=1),$AI34*Прайс!$D$77*0.5,IF(AND($Y34="Глянцеве покриття з патиною",$H34=1),$AI34*Прайс!$D$78*0.5,IF(AND($Y34="Матовий DECAPE",$H34=1),$AI34*Прайс!$D$79*0.5,IF(AND($Y34="Глянцевий DECAPE",$H34=1),$AI34*Прайс!$D$80*0.5,0))))))))+IF($G34="Гладкий",0,IF(AND($Y34="Матове",$H34=2),$AI34*Прайс!$E$73*0.5,IF(AND($Y34="Глянець",$H34=2),$AI34*Прайс!$E$75*0.5,IF(AND($Y34="Софт(TS)",$H34=2),$AI34*Прайс!$E$74*0.5,IF(AND($Y34="Матове покриття з патиною",$H34=2),$AI34*Прайс!$E$77*0.5,IF(AND($Y34="Глянцеве покриття з патиною",$H34=2),$AI34*Прайс!$E$78*0.5,IF(AND($Y34="Матовий DECAPE",$H34=2),$AI34*Прайс!$E$79*0.5,IF(AND($Y34="Глянцевий DECAPE",$H34=2),$AI34*Прайс!$E$80*0.5,0)))))))+IF(AND($S34=1,OR($H34=1,$H34=0),$Y34=Прайс!$C$89),$AI34*[1]Прайс!$D$74*0.5,IF(AND($S34=1,OR($H34=1,$H34=0),$Y34=Прайс!$C$90),$AI34*Прайс!$D$90*0.5,IF(AND($S34=1,OR($H34=1,$H34=0),$Y34=Прайс!$C$91),$AI34*Прайс!$D$91*0.5,IF(AND($S34=1,OR($H34=1,$H34=0),$Y34=Прайс!$C$92),$AI34*Прайс!$D$92*0.5,0))))+IF(AND($S34=1,$H34=2,$Y34=Прайс!$C$89),$AI34*Прайс!$E$89*0.5,IF(AND($S34=1,$H34=2,$Y34=Прайс!$C$90),$AI34*Прайс!$E$90*0.5,IF(AND($S34=1,$H34=2,$Y34=Прайс!$C$91),$AI34*Прайс!$E$91*0.5,IF(AND($S34=1,$H34=2,$Y34=Прайс!$C$92),$AI34*Прайс!$E$92*0.5,0)))))</f>
        <v>0</v>
      </c>
      <c r="AC34" s="197" t="str">
        <f>IF(Бланк!AD51="","",Бланк!AD51*E34)</f>
        <v/>
      </c>
      <c r="AD34" s="195">
        <f>IF(OR($AC34=0,$AC34=""),0,$AC34*Прайс!$D$111)</f>
        <v>0</v>
      </c>
      <c r="AE34" s="197" t="str">
        <f>IF(Бланк!AE51="","",Бланк!AE51)</f>
        <v/>
      </c>
      <c r="AF34" s="197" t="str">
        <f>IF(Бланк!AF51="","",Бланк!AF51)</f>
        <v/>
      </c>
      <c r="AG34" s="197" t="str">
        <f>IF(Бланк!AG51="","",Бланк!AG51)</f>
        <v/>
      </c>
      <c r="AH34" s="197" t="str">
        <f>IF(Бланк!AH51="","",Бланк!AH51)</f>
        <v/>
      </c>
      <c r="AI34" s="139">
        <f>IF(Бланк!$AI51="","",Бланк!$AI51)</f>
        <v>0</v>
      </c>
      <c r="AJ34" s="198"/>
      <c r="AK34" s="198"/>
      <c r="AL34" s="198"/>
      <c r="AM34" s="199"/>
      <c r="AN34" s="199"/>
      <c r="AO34" s="199"/>
      <c r="AP34" s="199"/>
      <c r="AQ34" s="200"/>
      <c r="AR34" s="190"/>
    </row>
    <row r="35" spans="2:44" s="202" customFormat="1" ht="21" customHeight="1" x14ac:dyDescent="0.3">
      <c r="B35" s="201">
        <v>32</v>
      </c>
      <c r="C35" s="192" t="str">
        <f>IF(Бланк!$C52="","",Бланк!$C52/1000)</f>
        <v/>
      </c>
      <c r="D35" s="192" t="str">
        <f>IF(Бланк!$D52="","",Бланк!$D52/1000)</f>
        <v/>
      </c>
      <c r="E35" s="192" t="str">
        <f>IF(Бланк!$E52="","",Бланк!$E52)</f>
        <v/>
      </c>
      <c r="F35" s="192" t="str">
        <f>IF(Бланк!$F52="","",Бланк!$F52)</f>
        <v/>
      </c>
      <c r="G35" s="192" t="str">
        <f>IF(Бланк!$G52="","",Бланк!$G52)</f>
        <v/>
      </c>
      <c r="H35" s="193" t="str">
        <f>IF($G35="","",VLOOKUP($G35,Наименование!$M$42:$N$95,2,FALSE))</f>
        <v/>
      </c>
      <c r="I35" s="192" t="str">
        <f>IF(Бланк!$H52="","",Бланк!$H52)</f>
        <v/>
      </c>
      <c r="J35" s="192" t="str">
        <f>IF(Бланк!$I52="","",Бланк!$I52)</f>
        <v/>
      </c>
      <c r="K35" s="194" t="str">
        <f>IF(OR($J35="",$J35=0),"",IF($J35="Пряма з чвертю",(Прайс!$D$106+Прайс!$D$109)*Просчет!$E35,IF($J35="Пряма без чверті",Прайс!$D$106*Просчет!$E35,IF(AND($J35="Шпрос з чвертю",OR($C35&lt;1,$C35=1)),(Прайс!$D$37+Прайс!$D$40)*Просчет!$E35,IF(AND($J35="Шпрос з чвертю",$C35&gt;1),(Прайс!$F$37+Прайс!$D$40)*Просчет!$E35,IF(AND($J35="Шпрос без чверті",OR($C35&lt;1,$C35=1)),Прайс!$D$37*Просчет!$E35,IF(AND($J35="Шпрос без чверті",$C35&gt;1),Прайс!$F$37*Просчет!$E35,"")))))))</f>
        <v/>
      </c>
      <c r="L35" s="192" t="str">
        <f>IF(Бланк!$J52="","",Бланк!$J52/1000)</f>
        <v/>
      </c>
      <c r="M35" s="192" t="str">
        <f>IF(Бланк!$K52="","",Бланк!$K52)</f>
        <v/>
      </c>
      <c r="N35" s="195">
        <f t="shared" si="0"/>
        <v>0</v>
      </c>
      <c r="O35" s="194">
        <f>IF($G35="гладкий",IF($M35="","",IF(OR($M35="J № 1",$M35="J № 2",$M35="J № 2L",$M35="J № 2R",$M35="AJ № 2",$M35="AJ № 2L",$M35="AJ № 2R",$M35="U",$M35="V"),$N35*Прайс!$D$43,IF(OR($M35="AJ № 3R",$M35="AJ № 4R",$M35="AJ № 5R",$M35="AJ № 3L",$M35="AJ № 4L",$M35="AJ № 5L",$M35="AJ № 3",$M35="AJ № 4",$M35="AJ № 5",$M35="J № 3",$M35="J № 4",$M35="J № 5",$M35="J № 6",$M35="J № 7",$M35="L",$M35="AL"),Прайс!$D$43*$E35,IF(OR($M35="J № 3L",$M35="J № 3R",$M35="J № 4L",$M35="J № 4R",$M35="J № 5L",$M35="J № 5R"),$N35/2*Прайс!$D$47*$E35,IF($M35="45 град.",$N35*Прайс!$D$42,0))))),0)</f>
        <v>0</v>
      </c>
      <c r="P35" s="192" t="str">
        <f>IF(Бланк!$L52="","",Бланк!$L52)</f>
        <v/>
      </c>
      <c r="Q35" s="192" t="str">
        <f>IF(Бланк!$M52="","",Бланк!$M52)</f>
        <v/>
      </c>
      <c r="R35" s="194">
        <f>IF($P35="",0,IF($Q35=$U35,0,IF($Q35="",0,IF(OR($G35=35,$G35=36,$G35=37,$G35=38),Прайс!$D$118*Бланк!E52,IF(AND($G35="гладкий",OR($M35="J № 1",$M35="J № 2",$M35="J № 2L",$M35="J № 2R")),$N35*Прайс!$D$59,0)))))</f>
        <v>0</v>
      </c>
      <c r="S35" s="192" t="str">
        <f>IF(OR(Бланк!$O52=0,Бланк!$O52=""),"",1)</f>
        <v/>
      </c>
      <c r="T35" s="192" t="str">
        <f>IF(Бланк!$R52="","",Бланк!$R52)</f>
        <v/>
      </c>
      <c r="U35" s="192" t="str">
        <f>IF(Бланк!$S52="","",Бланк!$S52)</f>
        <v/>
      </c>
      <c r="V35" s="192" t="str">
        <f>IF(Бланк!$T52="","",Бланк!$T52)</f>
        <v/>
      </c>
      <c r="W35" s="196" t="str">
        <f>IF(Бланк!$W52="","",Бланк!$W52)</f>
        <v/>
      </c>
      <c r="X35" s="197" t="str">
        <f>IF(Бланк!AB52="","",Бланк!AB52)</f>
        <v/>
      </c>
      <c r="Y35" s="197" t="str">
        <f>IF(Бланк!AC52="","",Бланк!AC52)</f>
        <v/>
      </c>
      <c r="Z35" s="195">
        <f>IF($G35="Гладкий",IF(OR($C35=0,$C35=""),0,IF(AND(OR($V35="Перли",$V35="Металік",$V35="Перл.зол.",$V35="Перл.ср.",$V35="Перл.зол.",$V35="Зор.н.ср.",$V35="Зор.н.зол.",$V35="Зор.н.різн.",$V35="Гума"),OR($F35=4,$F35=6,$F35=8,$F35=10,$F35=16)),$AI35*Прайс!$D$12,IF(AND(OR($V35="",$V35=0),$X35="Матове",OR($F35=4,$F35=6,$F35=8,$F35=10,$F35=16)),$AI35*Прайс!$D$10,IF(AND(OR($V35="",$V35=0),$X35="Глянець",OR($F35=4,$F35=6,$F35=8,$F35=10,$F35=16)),$AI35*Прайс!$D$11,IF(AND(OR($V35="",$V35=0),$X35="Софт(TS)",OR($F35=4,$F35=6,$F35=8,$F35=10,$F35=16)),$AI35*Прайс!#REF!,0))))),0)+IF($G35="Гладкий",0,IF(AND(OR($V35="Перли",$V35="Металік",$V35="Перл.зол.",$V35="Перл.ср.",$V35="Перл.зол.",$V35="Зор.н.ср.",$V35="Зор.н.зол.",$V35="Зор.н.різн.",$V35="Гума"),OR($F35=4,$F35=6,$F35=8,$F35=10,$F35=16),$H35=1),Просчет!$AI35*Прайс!$D$76,IF(AND(OR($V35="",$V35=0),$X35="Матове",OR($F35=4,$F35=6,$F35=8,$F35=10,$F35=16),$H35=1),Просчет!$AI35*Прайс!$D$73,IF(AND(OR($V35="",$V35=0),$X35="Глянець",OR($F35=4,$F35=6,$F35=8,$F35=10,$F35=16),$H35=1),Просчет!$AI35*Прайс!$D$75,IF(AND(OR($V35="",$V35=0),$G35="Софт(TS)",OR($F35=4,$F35=6,$F35=8,$F35=10,$F35=16),$H35=1),$AI35*Прайс!$D$74,IF(AND(OR($V35="",$V35=0),$X35="Матове покриття з патиною",OR($F35=4,$F35=6,$F35=8,$F35=10,$F35=16),$H35=1),$AI35*Прайс!$D$77,IF(AND(OR($V35="",$V35=0),$X35="Глянцеве покриття з патиною",OR($F35=4,$F35=6,$F35=8,$F35=10,$F35=16),$H35=1),$AI35*Прайс!$D$78,IF(AND(OR($V35="",$V35=0),$X35="Матовий DECAPE",OR($F35=4,$F35=6,$F35=8,$F35=10,$F35=16),$H35=1),$AI35*Прайс!$D$79,IF(AND(OR($V35="",$V35=0),$X35="Глянцевий DECAPE",OR($F35=4,$F35=6,$F35=8,$F35=10,$F35=16),$H35=1),$AI35*Прайс!$D$80,0)))))))))+IF($G35="Гладкий",0,IF(AND(OR($V35="Перли",$V35="Металік",$V35="Перл.зол.",$V35="Перл.ср.",$V35="Перл.зол.",$V35="Зор.н.ср.",$V35="Зор.н.зол.",$V35="Зор.н.різн.",$V35="Гума"),OR($F35=4,$F35=6,$F35=8,$F35=10,$F35=16),$H35=2),$AI35*Прайс!$E$76,IF(AND(OR($V35="",$V35=0),$X35="Матове",OR($F35=4,$F35=6,$F35=8,$F35=10,$F35=16),$H35=2),Просчет!$AI35*Прайс!$E$73,IF(AND(OR($V35="",$V35=0),$X35="Глянець",OR($F35=4,$F35=6,$F35=8,$F35=10,$F35=16),$H35=2),$AI35*Прайс!$E$75,IF(AND(OR($V35="",$V35=0),$X35="Софт(TS)",OR($F35=4,$F35=6,$F35=8,$F35=10,$F35=16),$H35=2),$AI35*Прайс!$E$74,IF(AND(OR($V35="",$V35=0),$X35="Матове покриття з патиною",OR($F35=4,$F35=6,$F35=8,$F35=10,$F35=16),$H35=2),$AI35*Прайс!$E$77,IF(AND(OR($V35="",$V35=0),$X35="Глянцеве покриття з патиною",OR($F35=4,$F35=6,$F35=8,$F35=10,$F35=16),$H35=2),$AI35*Прайс!$E$78,IF(AND(OR($V35="",$V35=0),$X35="Матовий DECAPE",OR($F35=4,$F35=6,$F35=8,$F35=10,$F35=16),$H35=2),$AI35*Прайс!$E$79,IF(AND(OR($V35="",$V35=0),$X35="Глянцевий DECAPE",OR($F35=4,$F35=6,$F35=8,$F35=10,$F35=16),$H35=2),$AI35*Прайс!$E$80,0)))))))))+IF(AND($S35=1,OR($H35=1,$H35=0),$X35=Наименование!$L$12,OR($F35=4,$F35=6,$F35=8,$F35=10,$F35=16)),$AI35*Прайс!$D$89,IF(AND($S35=1,OR($H35=1,$H35=0),$X35=Наименование!$L$13,OR($F35=4,$F35=6,$F35=8,$F35=10,$F35=16)),$AI35*Прайс!$D$90,IF(AND($S35=1,OR($H35=1,$H35=0),$X35=Наименование!$L55,OR($F35=4,$F35=6,$F35=8,$F35=10,$F35=16)),$AI35*Прайс!$D$91,IF(AND($S35=1,OR($H35=1,$H35=0),$X35=Наименование!$L$15,OR($F35=4,$F35=6,$F35=8,$F35=10,$F35=16)),$AI35*Прайс!$D$92,0))))+IF(AND($S35=1,$H35=2,$X35=Наименование!$L$12,OR($F35=4,$F35=6,$F35=8,$F35=10,$F35=16)),$AI35*Прайс!$E$89,IF(AND($S35=1,$H35=2,$X35=Наименование!$L$13,OR($F35=4,$F35=6,$F35=8,$F35=10,$F35=16)),$AI35*Прайс!$E$90,IF(AND($S35=1,$H35=2,$X35=Наименование!$L$14,OR($F35=4,$F35=6,$F35=8,$F35=10,$F35=16)),$AI35*Прайс!$E$91,IF(AND($S35=1,$H35=2,$X35=Наименование!$L$15,OR($F35=4,$F35=6,$F35=8,$F35=10,$F35=16)),$AI35*Прайс!$E$92))))</f>
        <v>0</v>
      </c>
      <c r="AA35" s="195">
        <f>IF($G35="Гладкий",IF(OR($C35=0,$C35=""),0,IF(AND(OR($V35="Перли",$V35="Металік",$V35="Перл.зол.",$V35="Перл.ср.",$V35="Перл.зол.",$V35="Зор.н.ср.",$V35="Зор.н.зол.",$V35="Зор.н.різн.",$V35="Гума"),$F35=19),$AI35*Прайс!$E$12,IF(AND(OR($V35="",$V35=0),$X35="Матове",$F35=19),$AI35*Прайс!$E$10,IF(AND(OR($V35="",$V35=0),$X35="Глянець",$F35=19),$AI35*Прайс!$E$11,IF(AND(OR($V35="",$V35=0),$X35="Софт(TS)",$F35=19),$AI35*Прайс!#REF!,0))))),0)+IF($G35="Гладкий",0,IF(AND(OR($V35="Перли",$V35="Металік",$V35="Перл.зол.",$V35="Перл.ср.",$V35="Перл.зол.",$V35="Зор.н.ср.",$V35="Зор.н.зол.",$V35="Зор.н.різн.",$V35="Гума"),$F35=19,$H35=1),Просчет!$AI35*Прайс!$F$76,IF(AND(OR($V35="",$V35=0),$X35="Матове",$F35=19,$H35=1),Просчет!$AI35*Прайс!$F$73,IF(AND(OR($V35="",$V35=0),$X35="Глянець",$F35=19,$H35=1),Просчет!$AI35*Прайс!$F$75,IF(AND(OR($V35="",$V35=0),$G35="Софт(TS)",$F35=19,$H35=1),$AI35*Прайс!$F$74,IF(AND(OR($V35="",$V35=0),$X35="Матове покриття з патиною",$F35=19,$H35=1),$AI35*Прайс!$F$77,IF(AND(OR($V35="",$V35=0),$X35="Глянцеве покриття з патиною",$F35=19,$H35=1),$AI35*Прайс!$F$78,IF(AND(OR($V35="",$V35=0),$X35="Матовий DECAPE",$F35=19,$H35=1),$AI35*Прайс!$F$79,IF(AND(OR($V35="",$V35=0),$X35="Глянцевий DECAPE",$F35=19,$H35=1),$AI35*Прайс!$F$80,0)))))))))+IF($G35="Гладкий",0,IF(AND(OR($V35="Перли",$V35="Металік",$V35="Перл.зол.",$V35="Перл.ср.",$V35="Перл.зол.",$V35="Зор.н.ср.",$V35="Зор.н.зол.",$V35="Зор.н.різн.",$V35="Гума"),$F35=19,$H35=2),$AI35*Прайс!$G$76,IF(AND(OR($V35="",$V35=0),$X35="Матове",$F35=19,$H35=2),Просчет!$AI35*Прайс!$G$73,IF(AND(OR($V35="",$V35=0),$X35="Глянець",$F35=19,$H35=2),$AI35*Прайс!$G$75,IF(AND(OR($V35="",$V35=0),$X35="Софт(TS)",$F35=19,$H35=2),$AI35*Прайс!$G$74,IF(AND(OR($V35="",$V35=0),$X35="Матове покриття з патиною",$F35=19,$H35=2),$AI35*Прайс!$G$77,IF(AND(OR($V35="",$V35=0),$X35="Глянцеве покриття з патиною",$F35=19,$H35=2),$AI35*Прайс!$G$78,IF(AND(OR($V35="",$V35=0),$X35="Матовий DECAPE",$F35=19,$H35=2),$AI35*Прайс!$G$79,IF(AND(OR($V35="",$V35=0),$X35="Глянцевий DECAPE",$F35=19,$H35=2),$AI35*Прайс!$G$78,0)))))))))+IF(AND($S35=1,OR($H35=1,$H35=0),$X35=Наименование!$L$12,$F35=19),$AI35*Прайс!$F$89,IF(AND($S35=1,OR($H35=1,$H35=0),$X35=Наименование!$L$13,$F35=19),$AI35*Прайс!$F$90,IF(AND($S35=1,OR($H35=1,$H35=0),$X35=Наименование!$L55,$F35=19),$AI35*Прайс!$F$91,IF(AND($S35=1,OR($H35=1,$H35=0),$X35=Наименование!$L$15,$F35=19),$AI35*Прайс!$F$92,0))))+IF(AND($S35=1,$H35=2,$X35=Наименование!$L$12,$F35=19),$AI35*Прайс!$G$89,IF(AND($S35=1,$H35=2,$X35=Наименование!$L$13,$F35=19),$AI35*Прайс!$G$90,IF(AND($S35=1,$H35=2,$X35=Наименование!$L$14,$F35=19),$AI35*Прайс!$G$91,IF(AND($S35=1,$H35=2,$X35=Наименование!$L$15,$F35=19),$AI35*Прайс!$G$92))))</f>
        <v>0</v>
      </c>
      <c r="AB35" s="195">
        <f>IF($G35="Гладкий",IF(OR($C35=0,$C35=""),0,IF($Y35="Матове",$AI35*(Прайс!$D$10-500),IF($Y35="Глянець",$AI35*(Прайс!$D$11-500),IF($Y35="Софт(TS)",$AI35*(Прайс!#REF!-500),0)))),0)+IF($G35="Гладкий",0,IF(AND($Y35="Матове",$H35=1),$AI35*Прайс!$D$73*0.5,IF(AND($Y35="Глянець",$H35=1),$AI35*Прайс!$D$75*0.5,IF(AND($Y35="Софт(TS)",$H35=1),$AI35*Прайс!$D$74*0.5,IF(AND($Y35="Матове покриття з патиною",$H35=1),$AI35*Прайс!$D$77*0.5,IF(AND($Y35="Глянцеве покриття з патиною",$H35=1),$AI35*Прайс!$D$78*0.5,IF(AND($Y35="Матовий DECAPE",$H35=1),$AI35*Прайс!$D$79*0.5,IF(AND($Y35="Глянцевий DECAPE",$H35=1),$AI35*Прайс!$D$80*0.5,0))))))))+IF($G35="Гладкий",0,IF(AND($Y35="Матове",$H35=2),$AI35*Прайс!$E$73*0.5,IF(AND($Y35="Глянець",$H35=2),$AI35*Прайс!$E$75*0.5,IF(AND($Y35="Софт(TS)",$H35=2),$AI35*Прайс!$E$74*0.5,IF(AND($Y35="Матове покриття з патиною",$H35=2),$AI35*Прайс!$E$77*0.5,IF(AND($Y35="Глянцеве покриття з патиною",$H35=2),$AI35*Прайс!$E$78*0.5,IF(AND($Y35="Матовий DECAPE",$H35=2),$AI35*Прайс!$E$79*0.5,IF(AND($Y35="Глянцевий DECAPE",$H35=2),$AI35*Прайс!$E$80*0.5,0)))))))+IF(AND($S35=1,OR($H35=1,$H35=0),$Y35=Прайс!$C$89),$AI35*[1]Прайс!$D$74*0.5,IF(AND($S35=1,OR($H35=1,$H35=0),$Y35=Прайс!$C$90),$AI35*Прайс!$D$90*0.5,IF(AND($S35=1,OR($H35=1,$H35=0),$Y35=Прайс!$C$91),$AI35*Прайс!$D$91*0.5,IF(AND($S35=1,OR($H35=1,$H35=0),$Y35=Прайс!$C$92),$AI35*Прайс!$D$92*0.5,0))))+IF(AND($S35=1,$H35=2,$Y35=Прайс!$C$89),$AI35*Прайс!$E$89*0.5,IF(AND($S35=1,$H35=2,$Y35=Прайс!$C$90),$AI35*Прайс!$E$90*0.5,IF(AND($S35=1,$H35=2,$Y35=Прайс!$C$91),$AI35*Прайс!$E$91*0.5,IF(AND($S35=1,$H35=2,$Y35=Прайс!$C$92),$AI35*Прайс!$E$92*0.5,0)))))</f>
        <v>0</v>
      </c>
      <c r="AC35" s="197" t="str">
        <f>IF(Бланк!AD52="","",Бланк!AD52*E35)</f>
        <v/>
      </c>
      <c r="AD35" s="195">
        <f>IF(OR($AC35=0,$AC35=""),0,$AC35*Прайс!$D$111)</f>
        <v>0</v>
      </c>
      <c r="AE35" s="197" t="str">
        <f>IF(Бланк!AE52="","",Бланк!AE52)</f>
        <v/>
      </c>
      <c r="AF35" s="197" t="str">
        <f>IF(Бланк!AF52="","",Бланк!AF52)</f>
        <v/>
      </c>
      <c r="AG35" s="197" t="str">
        <f>IF(Бланк!AG52="","",Бланк!AG52)</f>
        <v/>
      </c>
      <c r="AH35" s="197" t="str">
        <f>IF(Бланк!AH52="","",Бланк!AH52)</f>
        <v/>
      </c>
      <c r="AI35" s="139">
        <f>IF(Бланк!$AI52="","",Бланк!$AI52)</f>
        <v>0</v>
      </c>
      <c r="AJ35" s="198"/>
      <c r="AK35" s="198"/>
      <c r="AL35" s="198"/>
      <c r="AM35" s="199"/>
      <c r="AN35" s="199"/>
      <c r="AO35" s="199"/>
      <c r="AP35" s="199"/>
      <c r="AQ35" s="200"/>
      <c r="AR35" s="190"/>
    </row>
    <row r="36" spans="2:44" s="202" customFormat="1" ht="21" customHeight="1" x14ac:dyDescent="0.3">
      <c r="B36" s="201">
        <v>33</v>
      </c>
      <c r="C36" s="192" t="str">
        <f>IF(Бланк!$C53="","",Бланк!$C53/1000)</f>
        <v/>
      </c>
      <c r="D36" s="192" t="str">
        <f>IF(Бланк!$D53="","",Бланк!$D53/1000)</f>
        <v/>
      </c>
      <c r="E36" s="192" t="str">
        <f>IF(Бланк!$E53="","",Бланк!$E53)</f>
        <v/>
      </c>
      <c r="F36" s="192" t="str">
        <f>IF(Бланк!$F53="","",Бланк!$F53)</f>
        <v/>
      </c>
      <c r="G36" s="192" t="str">
        <f>IF(Бланк!$G53="","",Бланк!$G53)</f>
        <v/>
      </c>
      <c r="H36" s="193" t="str">
        <f>IF($G36="","",VLOOKUP($G36,Наименование!$M$42:$N$95,2,FALSE))</f>
        <v/>
      </c>
      <c r="I36" s="192" t="str">
        <f>IF(Бланк!$H53="","",Бланк!$H53)</f>
        <v/>
      </c>
      <c r="J36" s="192" t="str">
        <f>IF(Бланк!$I53="","",Бланк!$I53)</f>
        <v/>
      </c>
      <c r="K36" s="194" t="str">
        <f>IF(OR($J36="",$J36=0),"",IF($J36="Пряма з чвертю",(Прайс!$D$106+Прайс!$D$109)*Просчет!$E36,IF($J36="Пряма без чверті",Прайс!$D$106*Просчет!$E36,IF(AND($J36="Шпрос з чвертю",OR($C36&lt;1,$C36=1)),(Прайс!$D$37+Прайс!$D$40)*Просчет!$E36,IF(AND($J36="Шпрос з чвертю",$C36&gt;1),(Прайс!$F$37+Прайс!$D$40)*Просчет!$E36,IF(AND($J36="Шпрос без чверті",OR($C36&lt;1,$C36=1)),Прайс!$D$37*Просчет!$E36,IF(AND($J36="Шпрос без чверті",$C36&gt;1),Прайс!$F$37*Просчет!$E36,"")))))))</f>
        <v/>
      </c>
      <c r="L36" s="192" t="str">
        <f>IF(Бланк!$J53="","",Бланк!$J53/1000)</f>
        <v/>
      </c>
      <c r="M36" s="192" t="str">
        <f>IF(Бланк!$K53="","",Бланк!$K53)</f>
        <v/>
      </c>
      <c r="N36" s="195">
        <f t="shared" si="0"/>
        <v>0</v>
      </c>
      <c r="O36" s="194">
        <f>IF($G36="гладкий",IF($M36="","",IF(OR($M36="J № 1",$M36="J № 2",$M36="J № 2L",$M36="J № 2R",$M36="AJ № 2",$M36="AJ № 2L",$M36="AJ № 2R",$M36="U",$M36="V"),$N36*Прайс!$D$43,IF(OR($M36="AJ № 3R",$M36="AJ № 4R",$M36="AJ № 5R",$M36="AJ № 3L",$M36="AJ № 4L",$M36="AJ № 5L",$M36="AJ № 3",$M36="AJ № 4",$M36="AJ № 5",$M36="J № 3",$M36="J № 4",$M36="J № 5",$M36="J № 6",$M36="J № 7",$M36="L",$M36="AL"),Прайс!$D$43*$E36,IF(OR($M36="J № 3L",$M36="J № 3R",$M36="J № 4L",$M36="J № 4R",$M36="J № 5L",$M36="J № 5R"),$N36/2*Прайс!$D$47*$E36,IF($M36="45 град.",$N36*Прайс!$D$42,0))))),0)</f>
        <v>0</v>
      </c>
      <c r="P36" s="192" t="str">
        <f>IF(Бланк!$L53="","",Бланк!$L53)</f>
        <v/>
      </c>
      <c r="Q36" s="192" t="str">
        <f>IF(Бланк!$M53="","",Бланк!$M53)</f>
        <v/>
      </c>
      <c r="R36" s="194">
        <f>IF($P36="",0,IF($Q36=$U36,0,IF($Q36="",0,IF(OR($G36=35,$G36=36,$G36=37,$G36=38),Прайс!$D$118*Бланк!E53,IF(AND($G36="гладкий",OR($M36="J № 1",$M36="J № 2",$M36="J № 2L",$M36="J № 2R")),$N36*Прайс!$D$59,0)))))</f>
        <v>0</v>
      </c>
      <c r="S36" s="192" t="str">
        <f>IF(OR(Бланк!$O53=0,Бланк!$O53=""),"",1)</f>
        <v/>
      </c>
      <c r="T36" s="192" t="str">
        <f>IF(Бланк!$R53="","",Бланк!$R53)</f>
        <v/>
      </c>
      <c r="U36" s="192" t="str">
        <f>IF(Бланк!$S53="","",Бланк!$S53)</f>
        <v/>
      </c>
      <c r="V36" s="192" t="str">
        <f>IF(Бланк!$T53="","",Бланк!$T53)</f>
        <v/>
      </c>
      <c r="W36" s="196" t="str">
        <f>IF(Бланк!$W53="","",Бланк!$W53)</f>
        <v/>
      </c>
      <c r="X36" s="197" t="str">
        <f>IF(Бланк!AB53="","",Бланк!AB53)</f>
        <v/>
      </c>
      <c r="Y36" s="197" t="str">
        <f>IF(Бланк!AC53="","",Бланк!AC53)</f>
        <v/>
      </c>
      <c r="Z36" s="195">
        <f>IF($G36="Гладкий",IF(OR($C36=0,$C36=""),0,IF(AND(OR($V36="Перли",$V36="Металік",$V36="Перл.зол.",$V36="Перл.ср.",$V36="Перл.зол.",$V36="Зор.н.ср.",$V36="Зор.н.зол.",$V36="Зор.н.різн.",$V36="Гума"),OR($F36=4,$F36=6,$F36=8,$F36=10,$F36=16)),$AI36*Прайс!$D$12,IF(AND(OR($V36="",$V36=0),$X36="Матове",OR($F36=4,$F36=6,$F36=8,$F36=10,$F36=16)),$AI36*Прайс!$D$10,IF(AND(OR($V36="",$V36=0),$X36="Глянець",OR($F36=4,$F36=6,$F36=8,$F36=10,$F36=16)),$AI36*Прайс!$D$11,IF(AND(OR($V36="",$V36=0),$X36="Софт(TS)",OR($F36=4,$F36=6,$F36=8,$F36=10,$F36=16)),$AI36*Прайс!#REF!,0))))),0)+IF($G36="Гладкий",0,IF(AND(OR($V36="Перли",$V36="Металік",$V36="Перл.зол.",$V36="Перл.ср.",$V36="Перл.зол.",$V36="Зор.н.ср.",$V36="Зор.н.зол.",$V36="Зор.н.різн.",$V36="Гума"),OR($F36=4,$F36=6,$F36=8,$F36=10,$F36=16),$H36=1),Просчет!$AI36*Прайс!$D$76,IF(AND(OR($V36="",$V36=0),$X36="Матове",OR($F36=4,$F36=6,$F36=8,$F36=10,$F36=16),$H36=1),Просчет!$AI36*Прайс!$D$73,IF(AND(OR($V36="",$V36=0),$X36="Глянець",OR($F36=4,$F36=6,$F36=8,$F36=10,$F36=16),$H36=1),Просчет!$AI36*Прайс!$D$75,IF(AND(OR($V36="",$V36=0),$G36="Софт(TS)",OR($F36=4,$F36=6,$F36=8,$F36=10,$F36=16),$H36=1),$AI36*Прайс!$D$74,IF(AND(OR($V36="",$V36=0),$X36="Матове покриття з патиною",OR($F36=4,$F36=6,$F36=8,$F36=10,$F36=16),$H36=1),$AI36*Прайс!$D$77,IF(AND(OR($V36="",$V36=0),$X36="Глянцеве покриття з патиною",OR($F36=4,$F36=6,$F36=8,$F36=10,$F36=16),$H36=1),$AI36*Прайс!$D$78,IF(AND(OR($V36="",$V36=0),$X36="Матовий DECAPE",OR($F36=4,$F36=6,$F36=8,$F36=10,$F36=16),$H36=1),$AI36*Прайс!$D$79,IF(AND(OR($V36="",$V36=0),$X36="Глянцевий DECAPE",OR($F36=4,$F36=6,$F36=8,$F36=10,$F36=16),$H36=1),$AI36*Прайс!$D$80,0)))))))))+IF($G36="Гладкий",0,IF(AND(OR($V36="Перли",$V36="Металік",$V36="Перл.зол.",$V36="Перл.ср.",$V36="Перл.зол.",$V36="Зор.н.ср.",$V36="Зор.н.зол.",$V36="Зор.н.різн.",$V36="Гума"),OR($F36=4,$F36=6,$F36=8,$F36=10,$F36=16),$H36=2),$AI36*Прайс!$E$76,IF(AND(OR($V36="",$V36=0),$X36="Матове",OR($F36=4,$F36=6,$F36=8,$F36=10,$F36=16),$H36=2),Просчет!$AI36*Прайс!$E$73,IF(AND(OR($V36="",$V36=0),$X36="Глянець",OR($F36=4,$F36=6,$F36=8,$F36=10,$F36=16),$H36=2),$AI36*Прайс!$E$75,IF(AND(OR($V36="",$V36=0),$X36="Софт(TS)",OR($F36=4,$F36=6,$F36=8,$F36=10,$F36=16),$H36=2),$AI36*Прайс!$E$74,IF(AND(OR($V36="",$V36=0),$X36="Матове покриття з патиною",OR($F36=4,$F36=6,$F36=8,$F36=10,$F36=16),$H36=2),$AI36*Прайс!$E$77,IF(AND(OR($V36="",$V36=0),$X36="Глянцеве покриття з патиною",OR($F36=4,$F36=6,$F36=8,$F36=10,$F36=16),$H36=2),$AI36*Прайс!$E$78,IF(AND(OR($V36="",$V36=0),$X36="Матовий DECAPE",OR($F36=4,$F36=6,$F36=8,$F36=10,$F36=16),$H36=2),$AI36*Прайс!$E$79,IF(AND(OR($V36="",$V36=0),$X36="Глянцевий DECAPE",OR($F36=4,$F36=6,$F36=8,$F36=10,$F36=16),$H36=2),$AI36*Прайс!$E$80,0)))))))))+IF(AND($S36=1,OR($H36=1,$H36=0),$X36=Наименование!$L$12,OR($F36=4,$F36=6,$F36=8,$F36=10,$F36=16)),$AI36*Прайс!$D$89,IF(AND($S36=1,OR($H36=1,$H36=0),$X36=Наименование!$L$13,OR($F36=4,$F36=6,$F36=8,$F36=10,$F36=16)),$AI36*Прайс!$D$90,IF(AND($S36=1,OR($H36=1,$H36=0),$X36=Наименование!$L56,OR($F36=4,$F36=6,$F36=8,$F36=10,$F36=16)),$AI36*Прайс!$D$91,IF(AND($S36=1,OR($H36=1,$H36=0),$X36=Наименование!$L$15,OR($F36=4,$F36=6,$F36=8,$F36=10,$F36=16)),$AI36*Прайс!$D$92,0))))+IF(AND($S36=1,$H36=2,$X36=Наименование!$L$12,OR($F36=4,$F36=6,$F36=8,$F36=10,$F36=16)),$AI36*Прайс!$E$89,IF(AND($S36=1,$H36=2,$X36=Наименование!$L$13,OR($F36=4,$F36=6,$F36=8,$F36=10,$F36=16)),$AI36*Прайс!$E$90,IF(AND($S36=1,$H36=2,$X36=Наименование!$L$14,OR($F36=4,$F36=6,$F36=8,$F36=10,$F36=16)),$AI36*Прайс!$E$91,IF(AND($S36=1,$H36=2,$X36=Наименование!$L$15,OR($F36=4,$F36=6,$F36=8,$F36=10,$F36=16)),$AI36*Прайс!$E$92))))</f>
        <v>0</v>
      </c>
      <c r="AA36" s="195">
        <f>IF($G36="Гладкий",IF(OR($C36=0,$C36=""),0,IF(AND(OR($V36="Перли",$V36="Металік",$V36="Перл.зол.",$V36="Перл.ср.",$V36="Перл.зол.",$V36="Зор.н.ср.",$V36="Зор.н.зол.",$V36="Зор.н.різн.",$V36="Гума"),$F36=19),$AI36*Прайс!$E$12,IF(AND(OR($V36="",$V36=0),$X36="Матове",$F36=19),$AI36*Прайс!$E$10,IF(AND(OR($V36="",$V36=0),$X36="Глянець",$F36=19),$AI36*Прайс!$E$11,IF(AND(OR($V36="",$V36=0),$X36="Софт(TS)",$F36=19),$AI36*Прайс!#REF!,0))))),0)+IF($G36="Гладкий",0,IF(AND(OR($V36="Перли",$V36="Металік",$V36="Перл.зол.",$V36="Перл.ср.",$V36="Перл.зол.",$V36="Зор.н.ср.",$V36="Зор.н.зол.",$V36="Зор.н.різн.",$V36="Гума"),$F36=19,$H36=1),Просчет!$AI36*Прайс!$F$76,IF(AND(OR($V36="",$V36=0),$X36="Матове",$F36=19,$H36=1),Просчет!$AI36*Прайс!$F$73,IF(AND(OR($V36="",$V36=0),$X36="Глянець",$F36=19,$H36=1),Просчет!$AI36*Прайс!$F$75,IF(AND(OR($V36="",$V36=0),$G36="Софт(TS)",$F36=19,$H36=1),$AI36*Прайс!$F$74,IF(AND(OR($V36="",$V36=0),$X36="Матове покриття з патиною",$F36=19,$H36=1),$AI36*Прайс!$F$77,IF(AND(OR($V36="",$V36=0),$X36="Глянцеве покриття з патиною",$F36=19,$H36=1),$AI36*Прайс!$F$78,IF(AND(OR($V36="",$V36=0),$X36="Матовий DECAPE",$F36=19,$H36=1),$AI36*Прайс!$F$79,IF(AND(OR($V36="",$V36=0),$X36="Глянцевий DECAPE",$F36=19,$H36=1),$AI36*Прайс!$F$80,0)))))))))+IF($G36="Гладкий",0,IF(AND(OR($V36="Перли",$V36="Металік",$V36="Перл.зол.",$V36="Перл.ср.",$V36="Перл.зол.",$V36="Зор.н.ср.",$V36="Зор.н.зол.",$V36="Зор.н.різн.",$V36="Гума"),$F36=19,$H36=2),$AI36*Прайс!$G$76,IF(AND(OR($V36="",$V36=0),$X36="Матове",$F36=19,$H36=2),Просчет!$AI36*Прайс!$G$73,IF(AND(OR($V36="",$V36=0),$X36="Глянець",$F36=19,$H36=2),$AI36*Прайс!$G$75,IF(AND(OR($V36="",$V36=0),$X36="Софт(TS)",$F36=19,$H36=2),$AI36*Прайс!$G$74,IF(AND(OR($V36="",$V36=0),$X36="Матове покриття з патиною",$F36=19,$H36=2),$AI36*Прайс!$G$77,IF(AND(OR($V36="",$V36=0),$X36="Глянцеве покриття з патиною",$F36=19,$H36=2),$AI36*Прайс!$G$78,IF(AND(OR($V36="",$V36=0),$X36="Матовий DECAPE",$F36=19,$H36=2),$AI36*Прайс!$G$79,IF(AND(OR($V36="",$V36=0),$X36="Глянцевий DECAPE",$F36=19,$H36=2),$AI36*Прайс!$G$78,0)))))))))+IF(AND($S36=1,OR($H36=1,$H36=0),$X36=Наименование!$L$12,$F36=19),$AI36*Прайс!$F$89,IF(AND($S36=1,OR($H36=1,$H36=0),$X36=Наименование!$L$13,$F36=19),$AI36*Прайс!$F$90,IF(AND($S36=1,OR($H36=1,$H36=0),$X36=Наименование!$L56,$F36=19),$AI36*Прайс!$F$91,IF(AND($S36=1,OR($H36=1,$H36=0),$X36=Наименование!$L$15,$F36=19),$AI36*Прайс!$F$92,0))))+IF(AND($S36=1,$H36=2,$X36=Наименование!$L$12,$F36=19),$AI36*Прайс!$G$89,IF(AND($S36=1,$H36=2,$X36=Наименование!$L$13,$F36=19),$AI36*Прайс!$G$90,IF(AND($S36=1,$H36=2,$X36=Наименование!$L$14,$F36=19),$AI36*Прайс!$G$91,IF(AND($S36=1,$H36=2,$X36=Наименование!$L$15,$F36=19),$AI36*Прайс!$G$92))))</f>
        <v>0</v>
      </c>
      <c r="AB36" s="195">
        <f>IF($G36="Гладкий",IF(OR($C36=0,$C36=""),0,IF($Y36="Матове",$AI36*(Прайс!$D$10-500),IF($Y36="Глянець",$AI36*(Прайс!$D$11-500),IF($Y36="Софт(TS)",$AI36*(Прайс!#REF!-500),0)))),0)+IF($G36="Гладкий",0,IF(AND($Y36="Матове",$H36=1),$AI36*Прайс!$D$73*0.5,IF(AND($Y36="Глянець",$H36=1),$AI36*Прайс!$D$75*0.5,IF(AND($Y36="Софт(TS)",$H36=1),$AI36*Прайс!$D$74*0.5,IF(AND($Y36="Матове покриття з патиною",$H36=1),$AI36*Прайс!$D$77*0.5,IF(AND($Y36="Глянцеве покриття з патиною",$H36=1),$AI36*Прайс!$D$78*0.5,IF(AND($Y36="Матовий DECAPE",$H36=1),$AI36*Прайс!$D$79*0.5,IF(AND($Y36="Глянцевий DECAPE",$H36=1),$AI36*Прайс!$D$80*0.5,0))))))))+IF($G36="Гладкий",0,IF(AND($Y36="Матове",$H36=2),$AI36*Прайс!$E$73*0.5,IF(AND($Y36="Глянець",$H36=2),$AI36*Прайс!$E$75*0.5,IF(AND($Y36="Софт(TS)",$H36=2),$AI36*Прайс!$E$74*0.5,IF(AND($Y36="Матове покриття з патиною",$H36=2),$AI36*Прайс!$E$77*0.5,IF(AND($Y36="Глянцеве покриття з патиною",$H36=2),$AI36*Прайс!$E$78*0.5,IF(AND($Y36="Матовий DECAPE",$H36=2),$AI36*Прайс!$E$79*0.5,IF(AND($Y36="Глянцевий DECAPE",$H36=2),$AI36*Прайс!$E$80*0.5,0)))))))+IF(AND($S36=1,OR($H36=1,$H36=0),$Y36=Прайс!$C$89),$AI36*[1]Прайс!$D$74*0.5,IF(AND($S36=1,OR($H36=1,$H36=0),$Y36=Прайс!$C$90),$AI36*Прайс!$D$90*0.5,IF(AND($S36=1,OR($H36=1,$H36=0),$Y36=Прайс!$C$91),$AI36*Прайс!$D$91*0.5,IF(AND($S36=1,OR($H36=1,$H36=0),$Y36=Прайс!$C$92),$AI36*Прайс!$D$92*0.5,0))))+IF(AND($S36=1,$H36=2,$Y36=Прайс!$C$89),$AI36*Прайс!$E$89*0.5,IF(AND($S36=1,$H36=2,$Y36=Прайс!$C$90),$AI36*Прайс!$E$90*0.5,IF(AND($S36=1,$H36=2,$Y36=Прайс!$C$91),$AI36*Прайс!$E$91*0.5,IF(AND($S36=1,$H36=2,$Y36=Прайс!$C$92),$AI36*Прайс!$E$92*0.5,0)))))</f>
        <v>0</v>
      </c>
      <c r="AC36" s="197" t="str">
        <f>IF(Бланк!AD53="","",Бланк!AD53*E36)</f>
        <v/>
      </c>
      <c r="AD36" s="195">
        <f>IF(OR($AC36=0,$AC36=""),0,$AC36*Прайс!$D$111)</f>
        <v>0</v>
      </c>
      <c r="AE36" s="197" t="str">
        <f>IF(Бланк!AE53="","",Бланк!AE53)</f>
        <v/>
      </c>
      <c r="AF36" s="197" t="str">
        <f>IF(Бланк!AF53="","",Бланк!AF53)</f>
        <v/>
      </c>
      <c r="AG36" s="197" t="str">
        <f>IF(Бланк!AG53="","",Бланк!AG53)</f>
        <v/>
      </c>
      <c r="AH36" s="197" t="str">
        <f>IF(Бланк!AH53="","",Бланк!AH53)</f>
        <v/>
      </c>
      <c r="AI36" s="139">
        <f>IF(Бланк!$AI53="","",Бланк!$AI53)</f>
        <v>0</v>
      </c>
      <c r="AJ36" s="198"/>
      <c r="AK36" s="198"/>
      <c r="AL36" s="198"/>
      <c r="AM36" s="199"/>
      <c r="AN36" s="199"/>
      <c r="AO36" s="199"/>
      <c r="AP36" s="199"/>
      <c r="AQ36" s="200"/>
      <c r="AR36" s="190"/>
    </row>
    <row r="37" spans="2:44" s="202" customFormat="1" ht="21" customHeight="1" x14ac:dyDescent="0.3">
      <c r="B37" s="201">
        <v>34</v>
      </c>
      <c r="C37" s="192" t="str">
        <f>IF(Бланк!$C54="","",Бланк!$C54/1000)</f>
        <v/>
      </c>
      <c r="D37" s="192" t="str">
        <f>IF(Бланк!$D54="","",Бланк!$D54/1000)</f>
        <v/>
      </c>
      <c r="E37" s="192" t="str">
        <f>IF(Бланк!$E54="","",Бланк!$E54)</f>
        <v/>
      </c>
      <c r="F37" s="192" t="str">
        <f>IF(Бланк!$F54="","",Бланк!$F54)</f>
        <v/>
      </c>
      <c r="G37" s="192" t="str">
        <f>IF(Бланк!$G54="","",Бланк!$G54)</f>
        <v/>
      </c>
      <c r="H37" s="193" t="str">
        <f>IF($G37="","",VLOOKUP($G37,Наименование!$M$42:$N$95,2,FALSE))</f>
        <v/>
      </c>
      <c r="I37" s="192" t="str">
        <f>IF(Бланк!$H54="","",Бланк!$H54)</f>
        <v/>
      </c>
      <c r="J37" s="192" t="str">
        <f>IF(Бланк!$I54="","",Бланк!$I54)</f>
        <v/>
      </c>
      <c r="K37" s="194" t="str">
        <f>IF(OR($J37="",$J37=0),"",IF($J37="Пряма з чвертю",(Прайс!$D$106+Прайс!$D$109)*Просчет!$E37,IF($J37="Пряма без чверті",Прайс!$D$106*Просчет!$E37,IF(AND($J37="Шпрос з чвертю",OR($C37&lt;1,$C37=1)),(Прайс!$D$37+Прайс!$D$40)*Просчет!$E37,IF(AND($J37="Шпрос з чвертю",$C37&gt;1),(Прайс!$F$37+Прайс!$D$40)*Просчет!$E37,IF(AND($J37="Шпрос без чверті",OR($C37&lt;1,$C37=1)),Прайс!$D$37*Просчет!$E37,IF(AND($J37="Шпрос без чверті",$C37&gt;1),Прайс!$F$37*Просчет!$E37,"")))))))</f>
        <v/>
      </c>
      <c r="L37" s="192" t="str">
        <f>IF(Бланк!$J54="","",Бланк!$J54/1000)</f>
        <v/>
      </c>
      <c r="M37" s="192" t="str">
        <f>IF(Бланк!$K54="","",Бланк!$K54)</f>
        <v/>
      </c>
      <c r="N37" s="195">
        <f t="shared" si="0"/>
        <v>0</v>
      </c>
      <c r="O37" s="194">
        <f>IF($G37="гладкий",IF($M37="","",IF(OR($M37="J № 1",$M37="J № 2",$M37="J № 2L",$M37="J № 2R",$M37="AJ № 2",$M37="AJ № 2L",$M37="AJ № 2R",$M37="U",$M37="V"),$N37*Прайс!$D$43,IF(OR($M37="AJ № 3R",$M37="AJ № 4R",$M37="AJ № 5R",$M37="AJ № 3L",$M37="AJ № 4L",$M37="AJ № 5L",$M37="AJ № 3",$M37="AJ № 4",$M37="AJ № 5",$M37="J № 3",$M37="J № 4",$M37="J № 5",$M37="J № 6",$M37="J № 7",$M37="L",$M37="AL"),Прайс!$D$43*$E37,IF(OR($M37="J № 3L",$M37="J № 3R",$M37="J № 4L",$M37="J № 4R",$M37="J № 5L",$M37="J № 5R"),$N37/2*Прайс!$D$47*$E37,IF($M37="45 град.",$N37*Прайс!$D$42,0))))),0)</f>
        <v>0</v>
      </c>
      <c r="P37" s="192" t="str">
        <f>IF(Бланк!$L54="","",Бланк!$L54)</f>
        <v/>
      </c>
      <c r="Q37" s="192" t="str">
        <f>IF(Бланк!$M54="","",Бланк!$M54)</f>
        <v/>
      </c>
      <c r="R37" s="194">
        <f>IF($P37="",0,IF($Q37=$U37,0,IF($Q37="",0,IF(OR($G37=35,$G37=36,$G37=37,$G37=38),Прайс!$D$118*Бланк!E54,IF(AND($G37="гладкий",OR($M37="J № 1",$M37="J № 2",$M37="J № 2L",$M37="J № 2R")),$N37*Прайс!$D$59,0)))))</f>
        <v>0</v>
      </c>
      <c r="S37" s="192" t="str">
        <f>IF(OR(Бланк!$O54=0,Бланк!$O54=""),"",1)</f>
        <v/>
      </c>
      <c r="T37" s="192" t="str">
        <f>IF(Бланк!$R54="","",Бланк!$R54)</f>
        <v/>
      </c>
      <c r="U37" s="192" t="str">
        <f>IF(Бланк!$S54="","",Бланк!$S54)</f>
        <v/>
      </c>
      <c r="V37" s="192" t="str">
        <f>IF(Бланк!$T54="","",Бланк!$T54)</f>
        <v/>
      </c>
      <c r="W37" s="196" t="str">
        <f>IF(Бланк!$W54="","",Бланк!$W54)</f>
        <v/>
      </c>
      <c r="X37" s="197" t="str">
        <f>IF(Бланк!AB54="","",Бланк!AB54)</f>
        <v/>
      </c>
      <c r="Y37" s="197" t="str">
        <f>IF(Бланк!AC54="","",Бланк!AC54)</f>
        <v/>
      </c>
      <c r="Z37" s="195">
        <f>IF($G37="Гладкий",IF(OR($C37=0,$C37=""),0,IF(AND(OR($V37="Перли",$V37="Металік",$V37="Перл.зол.",$V37="Перл.ср.",$V37="Перл.зол.",$V37="Зор.н.ср.",$V37="Зор.н.зол.",$V37="Зор.н.різн.",$V37="Гума"),OR($F37=4,$F37=6,$F37=8,$F37=10,$F37=16)),$AI37*Прайс!$D$12,IF(AND(OR($V37="",$V37=0),$X37="Матове",OR($F37=4,$F37=6,$F37=8,$F37=10,$F37=16)),$AI37*Прайс!$D$10,IF(AND(OR($V37="",$V37=0),$X37="Глянець",OR($F37=4,$F37=6,$F37=8,$F37=10,$F37=16)),$AI37*Прайс!$D$11,IF(AND(OR($V37="",$V37=0),$X37="Софт(TS)",OR($F37=4,$F37=6,$F37=8,$F37=10,$F37=16)),$AI37*Прайс!#REF!,0))))),0)+IF($G37="Гладкий",0,IF(AND(OR($V37="Перли",$V37="Металік",$V37="Перл.зол.",$V37="Перл.ср.",$V37="Перл.зол.",$V37="Зор.н.ср.",$V37="Зор.н.зол.",$V37="Зор.н.різн.",$V37="Гума"),OR($F37=4,$F37=6,$F37=8,$F37=10,$F37=16),$H37=1),Просчет!$AI37*Прайс!$D$76,IF(AND(OR($V37="",$V37=0),$X37="Матове",OR($F37=4,$F37=6,$F37=8,$F37=10,$F37=16),$H37=1),Просчет!$AI37*Прайс!$D$73,IF(AND(OR($V37="",$V37=0),$X37="Глянець",OR($F37=4,$F37=6,$F37=8,$F37=10,$F37=16),$H37=1),Просчет!$AI37*Прайс!$D$75,IF(AND(OR($V37="",$V37=0),$G37="Софт(TS)",OR($F37=4,$F37=6,$F37=8,$F37=10,$F37=16),$H37=1),$AI37*Прайс!$D$74,IF(AND(OR($V37="",$V37=0),$X37="Матове покриття з патиною",OR($F37=4,$F37=6,$F37=8,$F37=10,$F37=16),$H37=1),$AI37*Прайс!$D$77,IF(AND(OR($V37="",$V37=0),$X37="Глянцеве покриття з патиною",OR($F37=4,$F37=6,$F37=8,$F37=10,$F37=16),$H37=1),$AI37*Прайс!$D$78,IF(AND(OR($V37="",$V37=0),$X37="Матовий DECAPE",OR($F37=4,$F37=6,$F37=8,$F37=10,$F37=16),$H37=1),$AI37*Прайс!$D$79,IF(AND(OR($V37="",$V37=0),$X37="Глянцевий DECAPE",OR($F37=4,$F37=6,$F37=8,$F37=10,$F37=16),$H37=1),$AI37*Прайс!$D$80,0)))))))))+IF($G37="Гладкий",0,IF(AND(OR($V37="Перли",$V37="Металік",$V37="Перл.зол.",$V37="Перл.ср.",$V37="Перл.зол.",$V37="Зор.н.ср.",$V37="Зор.н.зол.",$V37="Зор.н.різн.",$V37="Гума"),OR($F37=4,$F37=6,$F37=8,$F37=10,$F37=16),$H37=2),$AI37*Прайс!$E$76,IF(AND(OR($V37="",$V37=0),$X37="Матове",OR($F37=4,$F37=6,$F37=8,$F37=10,$F37=16),$H37=2),Просчет!$AI37*Прайс!$E$73,IF(AND(OR($V37="",$V37=0),$X37="Глянець",OR($F37=4,$F37=6,$F37=8,$F37=10,$F37=16),$H37=2),$AI37*Прайс!$E$75,IF(AND(OR($V37="",$V37=0),$X37="Софт(TS)",OR($F37=4,$F37=6,$F37=8,$F37=10,$F37=16),$H37=2),$AI37*Прайс!$E$74,IF(AND(OR($V37="",$V37=0),$X37="Матове покриття з патиною",OR($F37=4,$F37=6,$F37=8,$F37=10,$F37=16),$H37=2),$AI37*Прайс!$E$77,IF(AND(OR($V37="",$V37=0),$X37="Глянцеве покриття з патиною",OR($F37=4,$F37=6,$F37=8,$F37=10,$F37=16),$H37=2),$AI37*Прайс!$E$78,IF(AND(OR($V37="",$V37=0),$X37="Матовий DECAPE",OR($F37=4,$F37=6,$F37=8,$F37=10,$F37=16),$H37=2),$AI37*Прайс!$E$79,IF(AND(OR($V37="",$V37=0),$X37="Глянцевий DECAPE",OR($F37=4,$F37=6,$F37=8,$F37=10,$F37=16),$H37=2),$AI37*Прайс!$E$80,0)))))))))+IF(AND($S37=1,OR($H37=1,$H37=0),$X37=Наименование!$L$12,OR($F37=4,$F37=6,$F37=8,$F37=10,$F37=16)),$AI37*Прайс!$D$89,IF(AND($S37=1,OR($H37=1,$H37=0),$X37=Наименование!$L$13,OR($F37=4,$F37=6,$F37=8,$F37=10,$F37=16)),$AI37*Прайс!$D$90,IF(AND($S37=1,OR($H37=1,$H37=0),$X37=Наименование!$L57,OR($F37=4,$F37=6,$F37=8,$F37=10,$F37=16)),$AI37*Прайс!$D$91,IF(AND($S37=1,OR($H37=1,$H37=0),$X37=Наименование!$L$15,OR($F37=4,$F37=6,$F37=8,$F37=10,$F37=16)),$AI37*Прайс!$D$92,0))))+IF(AND($S37=1,$H37=2,$X37=Наименование!$L$12,OR($F37=4,$F37=6,$F37=8,$F37=10,$F37=16)),$AI37*Прайс!$E$89,IF(AND($S37=1,$H37=2,$X37=Наименование!$L$13,OR($F37=4,$F37=6,$F37=8,$F37=10,$F37=16)),$AI37*Прайс!$E$90,IF(AND($S37=1,$H37=2,$X37=Наименование!$L$14,OR($F37=4,$F37=6,$F37=8,$F37=10,$F37=16)),$AI37*Прайс!$E$91,IF(AND($S37=1,$H37=2,$X37=Наименование!$L$15,OR($F37=4,$F37=6,$F37=8,$F37=10,$F37=16)),$AI37*Прайс!$E$92))))</f>
        <v>0</v>
      </c>
      <c r="AA37" s="195">
        <f>IF($G37="Гладкий",IF(OR($C37=0,$C37=""),0,IF(AND(OR($V37="Перли",$V37="Металік",$V37="Перл.зол.",$V37="Перл.ср.",$V37="Перл.зол.",$V37="Зор.н.ср.",$V37="Зор.н.зол.",$V37="Зор.н.різн.",$V37="Гума"),$F37=19),$AI37*Прайс!$E$12,IF(AND(OR($V37="",$V37=0),$X37="Матове",$F37=19),$AI37*Прайс!$E$10,IF(AND(OR($V37="",$V37=0),$X37="Глянець",$F37=19),$AI37*Прайс!$E$11,IF(AND(OR($V37="",$V37=0),$X37="Софт(TS)",$F37=19),$AI37*Прайс!#REF!,0))))),0)+IF($G37="Гладкий",0,IF(AND(OR($V37="Перли",$V37="Металік",$V37="Перл.зол.",$V37="Перл.ср.",$V37="Перл.зол.",$V37="Зор.н.ср.",$V37="Зор.н.зол.",$V37="Зор.н.різн.",$V37="Гума"),$F37=19,$H37=1),Просчет!$AI37*Прайс!$F$76,IF(AND(OR($V37="",$V37=0),$X37="Матове",$F37=19,$H37=1),Просчет!$AI37*Прайс!$F$73,IF(AND(OR($V37="",$V37=0),$X37="Глянець",$F37=19,$H37=1),Просчет!$AI37*Прайс!$F$75,IF(AND(OR($V37="",$V37=0),$G37="Софт(TS)",$F37=19,$H37=1),$AI37*Прайс!$F$74,IF(AND(OR($V37="",$V37=0),$X37="Матове покриття з патиною",$F37=19,$H37=1),$AI37*Прайс!$F$77,IF(AND(OR($V37="",$V37=0),$X37="Глянцеве покриття з патиною",$F37=19,$H37=1),$AI37*Прайс!$F$78,IF(AND(OR($V37="",$V37=0),$X37="Матовий DECAPE",$F37=19,$H37=1),$AI37*Прайс!$F$79,IF(AND(OR($V37="",$V37=0),$X37="Глянцевий DECAPE",$F37=19,$H37=1),$AI37*Прайс!$F$80,0)))))))))+IF($G37="Гладкий",0,IF(AND(OR($V37="Перли",$V37="Металік",$V37="Перл.зол.",$V37="Перл.ср.",$V37="Перл.зол.",$V37="Зор.н.ср.",$V37="Зор.н.зол.",$V37="Зор.н.різн.",$V37="Гума"),$F37=19,$H37=2),$AI37*Прайс!$G$76,IF(AND(OR($V37="",$V37=0),$X37="Матове",$F37=19,$H37=2),Просчет!$AI37*Прайс!$G$73,IF(AND(OR($V37="",$V37=0),$X37="Глянець",$F37=19,$H37=2),$AI37*Прайс!$G$75,IF(AND(OR($V37="",$V37=0),$X37="Софт(TS)",$F37=19,$H37=2),$AI37*Прайс!$G$74,IF(AND(OR($V37="",$V37=0),$X37="Матове покриття з патиною",$F37=19,$H37=2),$AI37*Прайс!$G$77,IF(AND(OR($V37="",$V37=0),$X37="Глянцеве покриття з патиною",$F37=19,$H37=2),$AI37*Прайс!$G$78,IF(AND(OR($V37="",$V37=0),$X37="Матовий DECAPE",$F37=19,$H37=2),$AI37*Прайс!$G$79,IF(AND(OR($V37="",$V37=0),$X37="Глянцевий DECAPE",$F37=19,$H37=2),$AI37*Прайс!$G$78,0)))))))))+IF(AND($S37=1,OR($H37=1,$H37=0),$X37=Наименование!$L$12,$F37=19),$AI37*Прайс!$F$89,IF(AND($S37=1,OR($H37=1,$H37=0),$X37=Наименование!$L$13,$F37=19),$AI37*Прайс!$F$90,IF(AND($S37=1,OR($H37=1,$H37=0),$X37=Наименование!$L57,$F37=19),$AI37*Прайс!$F$91,IF(AND($S37=1,OR($H37=1,$H37=0),$X37=Наименование!$L$15,$F37=19),$AI37*Прайс!$F$92,0))))+IF(AND($S37=1,$H37=2,$X37=Наименование!$L$12,$F37=19),$AI37*Прайс!$G$89,IF(AND($S37=1,$H37=2,$X37=Наименование!$L$13,$F37=19),$AI37*Прайс!$G$90,IF(AND($S37=1,$H37=2,$X37=Наименование!$L$14,$F37=19),$AI37*Прайс!$G$91,IF(AND($S37=1,$H37=2,$X37=Наименование!$L$15,$F37=19),$AI37*Прайс!$G$92))))</f>
        <v>0</v>
      </c>
      <c r="AB37" s="195">
        <f>IF($G37="Гладкий",IF(OR($C37=0,$C37=""),0,IF($Y37="Матове",$AI37*(Прайс!$D$10-500),IF($Y37="Глянець",$AI37*(Прайс!$D$11-500),IF($Y37="Софт(TS)",$AI37*(Прайс!#REF!-500),0)))),0)+IF($G37="Гладкий",0,IF(AND($Y37="Матове",$H37=1),$AI37*Прайс!$D$73*0.5,IF(AND($Y37="Глянець",$H37=1),$AI37*Прайс!$D$75*0.5,IF(AND($Y37="Софт(TS)",$H37=1),$AI37*Прайс!$D$74*0.5,IF(AND($Y37="Матове покриття з патиною",$H37=1),$AI37*Прайс!$D$77*0.5,IF(AND($Y37="Глянцеве покриття з патиною",$H37=1),$AI37*Прайс!$D$78*0.5,IF(AND($Y37="Матовий DECAPE",$H37=1),$AI37*Прайс!$D$79*0.5,IF(AND($Y37="Глянцевий DECAPE",$H37=1),$AI37*Прайс!$D$80*0.5,0))))))))+IF($G37="Гладкий",0,IF(AND($Y37="Матове",$H37=2),$AI37*Прайс!$E$73*0.5,IF(AND($Y37="Глянець",$H37=2),$AI37*Прайс!$E$75*0.5,IF(AND($Y37="Софт(TS)",$H37=2),$AI37*Прайс!$E$74*0.5,IF(AND($Y37="Матове покриття з патиною",$H37=2),$AI37*Прайс!$E$77*0.5,IF(AND($Y37="Глянцеве покриття з патиною",$H37=2),$AI37*Прайс!$E$78*0.5,IF(AND($Y37="Матовий DECAPE",$H37=2),$AI37*Прайс!$E$79*0.5,IF(AND($Y37="Глянцевий DECAPE",$H37=2),$AI37*Прайс!$E$80*0.5,0)))))))+IF(AND($S37=1,OR($H37=1,$H37=0),$Y37=Прайс!$C$89),$AI37*[1]Прайс!$D$74*0.5,IF(AND($S37=1,OR($H37=1,$H37=0),$Y37=Прайс!$C$90),$AI37*Прайс!$D$90*0.5,IF(AND($S37=1,OR($H37=1,$H37=0),$Y37=Прайс!$C$91),$AI37*Прайс!$D$91*0.5,IF(AND($S37=1,OR($H37=1,$H37=0),$Y37=Прайс!$C$92),$AI37*Прайс!$D$92*0.5,0))))+IF(AND($S37=1,$H37=2,$Y37=Прайс!$C$89),$AI37*Прайс!$E$89*0.5,IF(AND($S37=1,$H37=2,$Y37=Прайс!$C$90),$AI37*Прайс!$E$90*0.5,IF(AND($S37=1,$H37=2,$Y37=Прайс!$C$91),$AI37*Прайс!$E$91*0.5,IF(AND($S37=1,$H37=2,$Y37=Прайс!$C$92),$AI37*Прайс!$E$92*0.5,0)))))</f>
        <v>0</v>
      </c>
      <c r="AC37" s="197" t="str">
        <f>IF(Бланк!AD54="","",Бланк!AD54*E37)</f>
        <v/>
      </c>
      <c r="AD37" s="195">
        <f>IF(OR($AC37=0,$AC37=""),0,$AC37*Прайс!$D$111)</f>
        <v>0</v>
      </c>
      <c r="AE37" s="197" t="str">
        <f>IF(Бланк!AE54="","",Бланк!AE54)</f>
        <v/>
      </c>
      <c r="AF37" s="197" t="str">
        <f>IF(Бланк!AF54="","",Бланк!AF54)</f>
        <v/>
      </c>
      <c r="AG37" s="197" t="str">
        <f>IF(Бланк!AG54="","",Бланк!AG54)</f>
        <v/>
      </c>
      <c r="AH37" s="197" t="str">
        <f>IF(Бланк!AH54="","",Бланк!AH54)</f>
        <v/>
      </c>
      <c r="AI37" s="139">
        <f>IF(Бланк!$AI54="","",Бланк!$AI54)</f>
        <v>0</v>
      </c>
      <c r="AJ37" s="198"/>
      <c r="AK37" s="198"/>
      <c r="AL37" s="198"/>
      <c r="AM37" s="199"/>
      <c r="AN37" s="199"/>
      <c r="AO37" s="199"/>
      <c r="AP37" s="199"/>
      <c r="AQ37" s="200"/>
      <c r="AR37" s="190"/>
    </row>
    <row r="38" spans="2:44" s="202" customFormat="1" ht="21" customHeight="1" x14ac:dyDescent="0.3">
      <c r="B38" s="201">
        <v>35</v>
      </c>
      <c r="C38" s="192" t="str">
        <f>IF(Бланк!$C55="","",Бланк!$C55/1000)</f>
        <v/>
      </c>
      <c r="D38" s="192" t="str">
        <f>IF(Бланк!$D55="","",Бланк!$D55/1000)</f>
        <v/>
      </c>
      <c r="E38" s="192" t="str">
        <f>IF(Бланк!$E55="","",Бланк!$E55)</f>
        <v/>
      </c>
      <c r="F38" s="192" t="str">
        <f>IF(Бланк!$F55="","",Бланк!$F55)</f>
        <v/>
      </c>
      <c r="G38" s="192" t="str">
        <f>IF(Бланк!$G55="","",Бланк!$G55)</f>
        <v/>
      </c>
      <c r="H38" s="193" t="str">
        <f>IF($G38="","",VLOOKUP($G38,Наименование!$M$42:$N$95,2,FALSE))</f>
        <v/>
      </c>
      <c r="I38" s="192" t="str">
        <f>IF(Бланк!$H55="","",Бланк!$H55)</f>
        <v/>
      </c>
      <c r="J38" s="192" t="str">
        <f>IF(Бланк!$I55="","",Бланк!$I55)</f>
        <v/>
      </c>
      <c r="K38" s="194" t="str">
        <f>IF(OR($J38="",$J38=0),"",IF($J38="Пряма з чвертю",(Прайс!$D$106+Прайс!$D$109)*Просчет!$E38,IF($J38="Пряма без чверті",Прайс!$D$106*Просчет!$E38,IF(AND($J38="Шпрос з чвертю",OR($C38&lt;1,$C38=1)),(Прайс!$D$37+Прайс!$D$40)*Просчет!$E38,IF(AND($J38="Шпрос з чвертю",$C38&gt;1),(Прайс!$F$37+Прайс!$D$40)*Просчет!$E38,IF(AND($J38="Шпрос без чверті",OR($C38&lt;1,$C38=1)),Прайс!$D$37*Просчет!$E38,IF(AND($J38="Шпрос без чверті",$C38&gt;1),Прайс!$F$37*Просчет!$E38,"")))))))</f>
        <v/>
      </c>
      <c r="L38" s="192" t="str">
        <f>IF(Бланк!$J55="","",Бланк!$J55/1000)</f>
        <v/>
      </c>
      <c r="M38" s="192" t="str">
        <f>IF(Бланк!$K55="","",Бланк!$K55)</f>
        <v/>
      </c>
      <c r="N38" s="195">
        <f t="shared" si="0"/>
        <v>0</v>
      </c>
      <c r="O38" s="194">
        <f>IF($G38="гладкий",IF($M38="","",IF(OR($M38="J № 1",$M38="J № 2",$M38="J № 2L",$M38="J № 2R",$M38="AJ № 2",$M38="AJ № 2L",$M38="AJ № 2R",$M38="U",$M38="V"),$N38*Прайс!$D$43,IF(OR($M38="AJ № 3R",$M38="AJ № 4R",$M38="AJ № 5R",$M38="AJ № 3L",$M38="AJ № 4L",$M38="AJ № 5L",$M38="AJ № 3",$M38="AJ № 4",$M38="AJ № 5",$M38="J № 3",$M38="J № 4",$M38="J № 5",$M38="J № 6",$M38="J № 7",$M38="L",$M38="AL"),Прайс!$D$43*$E38,IF(OR($M38="J № 3L",$M38="J № 3R",$M38="J № 4L",$M38="J № 4R",$M38="J № 5L",$M38="J № 5R"),$N38/2*Прайс!$D$47*$E38,IF($M38="45 град.",$N38*Прайс!$D$42,0))))),0)</f>
        <v>0</v>
      </c>
      <c r="P38" s="192" t="str">
        <f>IF(Бланк!$L55="","",Бланк!$L55)</f>
        <v/>
      </c>
      <c r="Q38" s="192" t="str">
        <f>IF(Бланк!$M55="","",Бланк!$M55)</f>
        <v/>
      </c>
      <c r="R38" s="194">
        <f>IF($P38="",0,IF($Q38=$U38,0,IF($Q38="",0,IF(OR($G38=35,$G38=36,$G38=37,$G38=38),Прайс!$D$118*Бланк!E55,IF(AND($G38="гладкий",OR($M38="J № 1",$M38="J № 2",$M38="J № 2L",$M38="J № 2R")),$N38*Прайс!$D$59,0)))))</f>
        <v>0</v>
      </c>
      <c r="S38" s="192" t="str">
        <f>IF(OR(Бланк!$O55=0,Бланк!$O55=""),"",1)</f>
        <v/>
      </c>
      <c r="T38" s="192" t="str">
        <f>IF(Бланк!$R55="","",Бланк!$R55)</f>
        <v/>
      </c>
      <c r="U38" s="192" t="str">
        <f>IF(Бланк!$S55="","",Бланк!$S55)</f>
        <v/>
      </c>
      <c r="V38" s="192" t="str">
        <f>IF(Бланк!$T55="","",Бланк!$T55)</f>
        <v/>
      </c>
      <c r="W38" s="196" t="str">
        <f>IF(Бланк!$W55="","",Бланк!$W55)</f>
        <v/>
      </c>
      <c r="X38" s="197" t="str">
        <f>IF(Бланк!AB55="","",Бланк!AB55)</f>
        <v/>
      </c>
      <c r="Y38" s="197" t="str">
        <f>IF(Бланк!AC55="","",Бланк!AC55)</f>
        <v/>
      </c>
      <c r="Z38" s="195">
        <f>IF($G38="Гладкий",IF(OR($C38=0,$C38=""),0,IF(AND(OR($V38="Перли",$V38="Металік",$V38="Перл.зол.",$V38="Перл.ср.",$V38="Перл.зол.",$V38="Зор.н.ср.",$V38="Зор.н.зол.",$V38="Зор.н.різн.",$V38="Гума"),OR($F38=4,$F38=6,$F38=8,$F38=10,$F38=16)),$AI38*Прайс!$D$12,IF(AND(OR($V38="",$V38=0),$X38="Матове",OR($F38=4,$F38=6,$F38=8,$F38=10,$F38=16)),$AI38*Прайс!$D$10,IF(AND(OR($V38="",$V38=0),$X38="Глянець",OR($F38=4,$F38=6,$F38=8,$F38=10,$F38=16)),$AI38*Прайс!$D$11,IF(AND(OR($V38="",$V38=0),$X38="Софт(TS)",OR($F38=4,$F38=6,$F38=8,$F38=10,$F38=16)),$AI38*Прайс!#REF!,0))))),0)+IF($G38="Гладкий",0,IF(AND(OR($V38="Перли",$V38="Металік",$V38="Перл.зол.",$V38="Перл.ср.",$V38="Перл.зол.",$V38="Зор.н.ср.",$V38="Зор.н.зол.",$V38="Зор.н.різн.",$V38="Гума"),OR($F38=4,$F38=6,$F38=8,$F38=10,$F38=16),$H38=1),Просчет!$AI38*Прайс!$D$76,IF(AND(OR($V38="",$V38=0),$X38="Матове",OR($F38=4,$F38=6,$F38=8,$F38=10,$F38=16),$H38=1),Просчет!$AI38*Прайс!$D$73,IF(AND(OR($V38="",$V38=0),$X38="Глянець",OR($F38=4,$F38=6,$F38=8,$F38=10,$F38=16),$H38=1),Просчет!$AI38*Прайс!$D$75,IF(AND(OR($V38="",$V38=0),$G38="Софт(TS)",OR($F38=4,$F38=6,$F38=8,$F38=10,$F38=16),$H38=1),$AI38*Прайс!$D$74,IF(AND(OR($V38="",$V38=0),$X38="Матове покриття з патиною",OR($F38=4,$F38=6,$F38=8,$F38=10,$F38=16),$H38=1),$AI38*Прайс!$D$77,IF(AND(OR($V38="",$V38=0),$X38="Глянцеве покриття з патиною",OR($F38=4,$F38=6,$F38=8,$F38=10,$F38=16),$H38=1),$AI38*Прайс!$D$78,IF(AND(OR($V38="",$V38=0),$X38="Матовий DECAPE",OR($F38=4,$F38=6,$F38=8,$F38=10,$F38=16),$H38=1),$AI38*Прайс!$D$79,IF(AND(OR($V38="",$V38=0),$X38="Глянцевий DECAPE",OR($F38=4,$F38=6,$F38=8,$F38=10,$F38=16),$H38=1),$AI38*Прайс!$D$80,0)))))))))+IF($G38="Гладкий",0,IF(AND(OR($V38="Перли",$V38="Металік",$V38="Перл.зол.",$V38="Перл.ср.",$V38="Перл.зол.",$V38="Зор.н.ср.",$V38="Зор.н.зол.",$V38="Зор.н.різн.",$V38="Гума"),OR($F38=4,$F38=6,$F38=8,$F38=10,$F38=16),$H38=2),$AI38*Прайс!$E$76,IF(AND(OR($V38="",$V38=0),$X38="Матове",OR($F38=4,$F38=6,$F38=8,$F38=10,$F38=16),$H38=2),Просчет!$AI38*Прайс!$E$73,IF(AND(OR($V38="",$V38=0),$X38="Глянець",OR($F38=4,$F38=6,$F38=8,$F38=10,$F38=16),$H38=2),$AI38*Прайс!$E$75,IF(AND(OR($V38="",$V38=0),$X38="Софт(TS)",OR($F38=4,$F38=6,$F38=8,$F38=10,$F38=16),$H38=2),$AI38*Прайс!$E$74,IF(AND(OR($V38="",$V38=0),$X38="Матове покриття з патиною",OR($F38=4,$F38=6,$F38=8,$F38=10,$F38=16),$H38=2),$AI38*Прайс!$E$77,IF(AND(OR($V38="",$V38=0),$X38="Глянцеве покриття з патиною",OR($F38=4,$F38=6,$F38=8,$F38=10,$F38=16),$H38=2),$AI38*Прайс!$E$78,IF(AND(OR($V38="",$V38=0),$X38="Матовий DECAPE",OR($F38=4,$F38=6,$F38=8,$F38=10,$F38=16),$H38=2),$AI38*Прайс!$E$79,IF(AND(OR($V38="",$V38=0),$X38="Глянцевий DECAPE",OR($F38=4,$F38=6,$F38=8,$F38=10,$F38=16),$H38=2),$AI38*Прайс!$E$80,0)))))))))+IF(AND($S38=1,OR($H38=1,$H38=0),$X38=Наименование!$L$12,OR($F38=4,$F38=6,$F38=8,$F38=10,$F38=16)),$AI38*Прайс!$D$89,IF(AND($S38=1,OR($H38=1,$H38=0),$X38=Наименование!$L$13,OR($F38=4,$F38=6,$F38=8,$F38=10,$F38=16)),$AI38*Прайс!$D$90,IF(AND($S38=1,OR($H38=1,$H38=0),$X38=Наименование!$L58,OR($F38=4,$F38=6,$F38=8,$F38=10,$F38=16)),$AI38*Прайс!$D$91,IF(AND($S38=1,OR($H38=1,$H38=0),$X38=Наименование!$L$15,OR($F38=4,$F38=6,$F38=8,$F38=10,$F38=16)),$AI38*Прайс!$D$92,0))))+IF(AND($S38=1,$H38=2,$X38=Наименование!$L$12,OR($F38=4,$F38=6,$F38=8,$F38=10,$F38=16)),$AI38*Прайс!$E$89,IF(AND($S38=1,$H38=2,$X38=Наименование!$L$13,OR($F38=4,$F38=6,$F38=8,$F38=10,$F38=16)),$AI38*Прайс!$E$90,IF(AND($S38=1,$H38=2,$X38=Наименование!$L$14,OR($F38=4,$F38=6,$F38=8,$F38=10,$F38=16)),$AI38*Прайс!$E$91,IF(AND($S38=1,$H38=2,$X38=Наименование!$L$15,OR($F38=4,$F38=6,$F38=8,$F38=10,$F38=16)),$AI38*Прайс!$E$92))))</f>
        <v>0</v>
      </c>
      <c r="AA38" s="195">
        <f>IF($G38="Гладкий",IF(OR($C38=0,$C38=""),0,IF(AND(OR($V38="Перли",$V38="Металік",$V38="Перл.зол.",$V38="Перл.ср.",$V38="Перл.зол.",$V38="Зор.н.ср.",$V38="Зор.н.зол.",$V38="Зор.н.різн.",$V38="Гума"),$F38=19),$AI38*Прайс!$E$12,IF(AND(OR($V38="",$V38=0),$X38="Матове",$F38=19),$AI38*Прайс!$E$10,IF(AND(OR($V38="",$V38=0),$X38="Глянець",$F38=19),$AI38*Прайс!$E$11,IF(AND(OR($V38="",$V38=0),$X38="Софт(TS)",$F38=19),$AI38*Прайс!#REF!,0))))),0)+IF($G38="Гладкий",0,IF(AND(OR($V38="Перли",$V38="Металік",$V38="Перл.зол.",$V38="Перл.ср.",$V38="Перл.зол.",$V38="Зор.н.ср.",$V38="Зор.н.зол.",$V38="Зор.н.різн.",$V38="Гума"),$F38=19,$H38=1),Просчет!$AI38*Прайс!$F$76,IF(AND(OR($V38="",$V38=0),$X38="Матове",$F38=19,$H38=1),Просчет!$AI38*Прайс!$F$73,IF(AND(OR($V38="",$V38=0),$X38="Глянець",$F38=19,$H38=1),Просчет!$AI38*Прайс!$F$75,IF(AND(OR($V38="",$V38=0),$G38="Софт(TS)",$F38=19,$H38=1),$AI38*Прайс!$F$74,IF(AND(OR($V38="",$V38=0),$X38="Матове покриття з патиною",$F38=19,$H38=1),$AI38*Прайс!$F$77,IF(AND(OR($V38="",$V38=0),$X38="Глянцеве покриття з патиною",$F38=19,$H38=1),$AI38*Прайс!$F$78,IF(AND(OR($V38="",$V38=0),$X38="Матовий DECAPE",$F38=19,$H38=1),$AI38*Прайс!$F$79,IF(AND(OR($V38="",$V38=0),$X38="Глянцевий DECAPE",$F38=19,$H38=1),$AI38*Прайс!$F$80,0)))))))))+IF($G38="Гладкий",0,IF(AND(OR($V38="Перли",$V38="Металік",$V38="Перл.зол.",$V38="Перл.ср.",$V38="Перл.зол.",$V38="Зор.н.ср.",$V38="Зор.н.зол.",$V38="Зор.н.різн.",$V38="Гума"),$F38=19,$H38=2),$AI38*Прайс!$G$76,IF(AND(OR($V38="",$V38=0),$X38="Матове",$F38=19,$H38=2),Просчет!$AI38*Прайс!$G$73,IF(AND(OR($V38="",$V38=0),$X38="Глянець",$F38=19,$H38=2),$AI38*Прайс!$G$75,IF(AND(OR($V38="",$V38=0),$X38="Софт(TS)",$F38=19,$H38=2),$AI38*Прайс!$G$74,IF(AND(OR($V38="",$V38=0),$X38="Матове покриття з патиною",$F38=19,$H38=2),$AI38*Прайс!$G$77,IF(AND(OR($V38="",$V38=0),$X38="Глянцеве покриття з патиною",$F38=19,$H38=2),$AI38*Прайс!$G$78,IF(AND(OR($V38="",$V38=0),$X38="Матовий DECAPE",$F38=19,$H38=2),$AI38*Прайс!$G$79,IF(AND(OR($V38="",$V38=0),$X38="Глянцевий DECAPE",$F38=19,$H38=2),$AI38*Прайс!$G$78,0)))))))))+IF(AND($S38=1,OR($H38=1,$H38=0),$X38=Наименование!$L$12,$F38=19),$AI38*Прайс!$F$89,IF(AND($S38=1,OR($H38=1,$H38=0),$X38=Наименование!$L$13,$F38=19),$AI38*Прайс!$F$90,IF(AND($S38=1,OR($H38=1,$H38=0),$X38=Наименование!$L58,$F38=19),$AI38*Прайс!$F$91,IF(AND($S38=1,OR($H38=1,$H38=0),$X38=Наименование!$L$15,$F38=19),$AI38*Прайс!$F$92,0))))+IF(AND($S38=1,$H38=2,$X38=Наименование!$L$12,$F38=19),$AI38*Прайс!$G$89,IF(AND($S38=1,$H38=2,$X38=Наименование!$L$13,$F38=19),$AI38*Прайс!$G$90,IF(AND($S38=1,$H38=2,$X38=Наименование!$L$14,$F38=19),$AI38*Прайс!$G$91,IF(AND($S38=1,$H38=2,$X38=Наименование!$L$15,$F38=19),$AI38*Прайс!$G$92))))</f>
        <v>0</v>
      </c>
      <c r="AB38" s="195">
        <f>IF($G38="Гладкий",IF(OR($C38=0,$C38=""),0,IF($Y38="Матове",$AI38*(Прайс!$D$10-500),IF($Y38="Глянець",$AI38*(Прайс!$D$11-500),IF($Y38="Софт(TS)",$AI38*(Прайс!#REF!-500),0)))),0)+IF($G38="Гладкий",0,IF(AND($Y38="Матове",$H38=1),$AI38*Прайс!$D$73*0.5,IF(AND($Y38="Глянець",$H38=1),$AI38*Прайс!$D$75*0.5,IF(AND($Y38="Софт(TS)",$H38=1),$AI38*Прайс!$D$74*0.5,IF(AND($Y38="Матове покриття з патиною",$H38=1),$AI38*Прайс!$D$77*0.5,IF(AND($Y38="Глянцеве покриття з патиною",$H38=1),$AI38*Прайс!$D$78*0.5,IF(AND($Y38="Матовий DECAPE",$H38=1),$AI38*Прайс!$D$79*0.5,IF(AND($Y38="Глянцевий DECAPE",$H38=1),$AI38*Прайс!$D$80*0.5,0))))))))+IF($G38="Гладкий",0,IF(AND($Y38="Матове",$H38=2),$AI38*Прайс!$E$73*0.5,IF(AND($Y38="Глянець",$H38=2),$AI38*Прайс!$E$75*0.5,IF(AND($Y38="Софт(TS)",$H38=2),$AI38*Прайс!$E$74*0.5,IF(AND($Y38="Матове покриття з патиною",$H38=2),$AI38*Прайс!$E$77*0.5,IF(AND($Y38="Глянцеве покриття з патиною",$H38=2),$AI38*Прайс!$E$78*0.5,IF(AND($Y38="Матовий DECAPE",$H38=2),$AI38*Прайс!$E$79*0.5,IF(AND($Y38="Глянцевий DECAPE",$H38=2),$AI38*Прайс!$E$80*0.5,0)))))))+IF(AND($S38=1,OR($H38=1,$H38=0),$Y38=Прайс!$C$89),$AI38*[1]Прайс!$D$74*0.5,IF(AND($S38=1,OR($H38=1,$H38=0),$Y38=Прайс!$C$90),$AI38*Прайс!$D$90*0.5,IF(AND($S38=1,OR($H38=1,$H38=0),$Y38=Прайс!$C$91),$AI38*Прайс!$D$91*0.5,IF(AND($S38=1,OR($H38=1,$H38=0),$Y38=Прайс!$C$92),$AI38*Прайс!$D$92*0.5,0))))+IF(AND($S38=1,$H38=2,$Y38=Прайс!$C$89),$AI38*Прайс!$E$89*0.5,IF(AND($S38=1,$H38=2,$Y38=Прайс!$C$90),$AI38*Прайс!$E$90*0.5,IF(AND($S38=1,$H38=2,$Y38=Прайс!$C$91),$AI38*Прайс!$E$91*0.5,IF(AND($S38=1,$H38=2,$Y38=Прайс!$C$92),$AI38*Прайс!$E$92*0.5,0)))))</f>
        <v>0</v>
      </c>
      <c r="AC38" s="197" t="str">
        <f>IF(Бланк!AD55="","",Бланк!AD55*E38)</f>
        <v/>
      </c>
      <c r="AD38" s="195">
        <f>IF(OR($AC38=0,$AC38=""),0,$AC38*Прайс!$D$111)</f>
        <v>0</v>
      </c>
      <c r="AE38" s="197" t="str">
        <f>IF(Бланк!AE55="","",Бланк!AE55)</f>
        <v/>
      </c>
      <c r="AF38" s="197" t="str">
        <f>IF(Бланк!AF55="","",Бланк!AF55)</f>
        <v/>
      </c>
      <c r="AG38" s="197" t="str">
        <f>IF(Бланк!AG55="","",Бланк!AG55)</f>
        <v/>
      </c>
      <c r="AH38" s="197" t="str">
        <f>IF(Бланк!AH55="","",Бланк!AH55)</f>
        <v/>
      </c>
      <c r="AI38" s="139">
        <f>IF(Бланк!$AI55="","",Бланк!$AI55)</f>
        <v>0</v>
      </c>
      <c r="AJ38" s="198"/>
      <c r="AK38" s="198"/>
      <c r="AL38" s="198"/>
      <c r="AM38" s="199"/>
      <c r="AN38" s="199"/>
      <c r="AO38" s="199"/>
      <c r="AP38" s="199"/>
      <c r="AQ38" s="200"/>
      <c r="AR38" s="190"/>
    </row>
    <row r="39" spans="2:44" s="202" customFormat="1" ht="21" customHeight="1" x14ac:dyDescent="0.3">
      <c r="B39" s="201">
        <v>36</v>
      </c>
      <c r="C39" s="192" t="str">
        <f>IF(Бланк!$C56="","",Бланк!$C56/1000)</f>
        <v/>
      </c>
      <c r="D39" s="192" t="str">
        <f>IF(Бланк!$D56="","",Бланк!$D56/1000)</f>
        <v/>
      </c>
      <c r="E39" s="192" t="str">
        <f>IF(Бланк!$E56="","",Бланк!$E56)</f>
        <v/>
      </c>
      <c r="F39" s="192" t="str">
        <f>IF(Бланк!$F56="","",Бланк!$F56)</f>
        <v/>
      </c>
      <c r="G39" s="192" t="str">
        <f>IF(Бланк!$G56="","",Бланк!$G56)</f>
        <v/>
      </c>
      <c r="H39" s="193" t="str">
        <f>IF($G39="","",VLOOKUP($G39,Наименование!$M$42:$N$95,2,FALSE))</f>
        <v/>
      </c>
      <c r="I39" s="192" t="str">
        <f>IF(Бланк!$H56="","",Бланк!$H56)</f>
        <v/>
      </c>
      <c r="J39" s="192" t="str">
        <f>IF(Бланк!$I56="","",Бланк!$I56)</f>
        <v/>
      </c>
      <c r="K39" s="194" t="str">
        <f>IF(OR($J39="",$J39=0),"",IF($J39="Пряма з чвертю",(Прайс!$D$106+Прайс!$D$109)*Просчет!$E39,IF($J39="Пряма без чверті",Прайс!$D$106*Просчет!$E39,IF(AND($J39="Шпрос з чвертю",OR($C39&lt;1,$C39=1)),(Прайс!$D$37+Прайс!$D$40)*Просчет!$E39,IF(AND($J39="Шпрос з чвертю",$C39&gt;1),(Прайс!$F$37+Прайс!$D$40)*Просчет!$E39,IF(AND($J39="Шпрос без чверті",OR($C39&lt;1,$C39=1)),Прайс!$D$37*Просчет!$E39,IF(AND($J39="Шпрос без чверті",$C39&gt;1),Прайс!$F$37*Просчет!$E39,"")))))))</f>
        <v/>
      </c>
      <c r="L39" s="192" t="str">
        <f>IF(Бланк!$J56="","",Бланк!$J56/1000)</f>
        <v/>
      </c>
      <c r="M39" s="192" t="str">
        <f>IF(Бланк!$K56="","",Бланк!$K56)</f>
        <v/>
      </c>
      <c r="N39" s="195">
        <f t="shared" si="0"/>
        <v>0</v>
      </c>
      <c r="O39" s="194">
        <f>IF($G39="гладкий",IF($M39="","",IF(OR($M39="J № 1",$M39="J № 2",$M39="J № 2L",$M39="J № 2R",$M39="AJ № 2",$M39="AJ № 2L",$M39="AJ № 2R",$M39="U",$M39="V"),$N39*Прайс!$D$43,IF(OR($M39="AJ № 3R",$M39="AJ № 4R",$M39="AJ № 5R",$M39="AJ № 3L",$M39="AJ № 4L",$M39="AJ № 5L",$M39="AJ № 3",$M39="AJ № 4",$M39="AJ № 5",$M39="J № 3",$M39="J № 4",$M39="J № 5",$M39="J № 6",$M39="J № 7",$M39="L",$M39="AL"),Прайс!$D$43*$E39,IF(OR($M39="J № 3L",$M39="J № 3R",$M39="J № 4L",$M39="J № 4R",$M39="J № 5L",$M39="J № 5R"),$N39/2*Прайс!$D$47*$E39,IF($M39="45 град.",$N39*Прайс!$D$42,0))))),0)</f>
        <v>0</v>
      </c>
      <c r="P39" s="192" t="str">
        <f>IF(Бланк!$L56="","",Бланк!$L56)</f>
        <v/>
      </c>
      <c r="Q39" s="192" t="str">
        <f>IF(Бланк!$M56="","",Бланк!$M56)</f>
        <v/>
      </c>
      <c r="R39" s="194">
        <f>IF($P39="",0,IF($Q39=$U39,0,IF($Q39="",0,IF(OR($G39=35,$G39=36,$G39=37,$G39=38),Прайс!$D$118*Бланк!E56,IF(AND($G39="гладкий",OR($M39="J № 1",$M39="J № 2",$M39="J № 2L",$M39="J № 2R")),$N39*Прайс!$D$59,0)))))</f>
        <v>0</v>
      </c>
      <c r="S39" s="192" t="str">
        <f>IF(OR(Бланк!$O56=0,Бланк!$O56=""),"",1)</f>
        <v/>
      </c>
      <c r="T39" s="192" t="str">
        <f>IF(Бланк!$R56="","",Бланк!$R56)</f>
        <v/>
      </c>
      <c r="U39" s="192" t="str">
        <f>IF(Бланк!$S56="","",Бланк!$S56)</f>
        <v/>
      </c>
      <c r="V39" s="192" t="str">
        <f>IF(Бланк!$T56="","",Бланк!$T56)</f>
        <v/>
      </c>
      <c r="W39" s="196" t="str">
        <f>IF(Бланк!$W56="","",Бланк!$W56)</f>
        <v/>
      </c>
      <c r="X39" s="197" t="str">
        <f>IF(Бланк!AB56="","",Бланк!AB56)</f>
        <v/>
      </c>
      <c r="Y39" s="197" t="str">
        <f>IF(Бланк!AC56="","",Бланк!AC56)</f>
        <v/>
      </c>
      <c r="Z39" s="195">
        <f>IF($G39="Гладкий",IF(OR($C39=0,$C39=""),0,IF(AND(OR($V39="Перли",$V39="Металік",$V39="Перл.зол.",$V39="Перл.ср.",$V39="Перл.зол.",$V39="Зор.н.ср.",$V39="Зор.н.зол.",$V39="Зор.н.різн.",$V39="Гума"),OR($F39=4,$F39=6,$F39=8,$F39=10,$F39=16)),$AI39*Прайс!$D$12,IF(AND(OR($V39="",$V39=0),$X39="Матове",OR($F39=4,$F39=6,$F39=8,$F39=10,$F39=16)),$AI39*Прайс!$D$10,IF(AND(OR($V39="",$V39=0),$X39="Глянець",OR($F39=4,$F39=6,$F39=8,$F39=10,$F39=16)),$AI39*Прайс!$D$11,IF(AND(OR($V39="",$V39=0),$X39="Софт(TS)",OR($F39=4,$F39=6,$F39=8,$F39=10,$F39=16)),$AI39*Прайс!#REF!,0))))),0)+IF($G39="Гладкий",0,IF(AND(OR($V39="Перли",$V39="Металік",$V39="Перл.зол.",$V39="Перл.ср.",$V39="Перл.зол.",$V39="Зор.н.ср.",$V39="Зор.н.зол.",$V39="Зор.н.різн.",$V39="Гума"),OR($F39=4,$F39=6,$F39=8,$F39=10,$F39=16),$H39=1),Просчет!$AI39*Прайс!$D$76,IF(AND(OR($V39="",$V39=0),$X39="Матове",OR($F39=4,$F39=6,$F39=8,$F39=10,$F39=16),$H39=1),Просчет!$AI39*Прайс!$D$73,IF(AND(OR($V39="",$V39=0),$X39="Глянець",OR($F39=4,$F39=6,$F39=8,$F39=10,$F39=16),$H39=1),Просчет!$AI39*Прайс!$D$75,IF(AND(OR($V39="",$V39=0),$G39="Софт(TS)",OR($F39=4,$F39=6,$F39=8,$F39=10,$F39=16),$H39=1),$AI39*Прайс!$D$74,IF(AND(OR($V39="",$V39=0),$X39="Матове покриття з патиною",OR($F39=4,$F39=6,$F39=8,$F39=10,$F39=16),$H39=1),$AI39*Прайс!$D$77,IF(AND(OR($V39="",$V39=0),$X39="Глянцеве покриття з патиною",OR($F39=4,$F39=6,$F39=8,$F39=10,$F39=16),$H39=1),$AI39*Прайс!$D$78,IF(AND(OR($V39="",$V39=0),$X39="Матовий DECAPE",OR($F39=4,$F39=6,$F39=8,$F39=10,$F39=16),$H39=1),$AI39*Прайс!$D$79,IF(AND(OR($V39="",$V39=0),$X39="Глянцевий DECAPE",OR($F39=4,$F39=6,$F39=8,$F39=10,$F39=16),$H39=1),$AI39*Прайс!$D$80,0)))))))))+IF($G39="Гладкий",0,IF(AND(OR($V39="Перли",$V39="Металік",$V39="Перл.зол.",$V39="Перл.ср.",$V39="Перл.зол.",$V39="Зор.н.ср.",$V39="Зор.н.зол.",$V39="Зор.н.різн.",$V39="Гума"),OR($F39=4,$F39=6,$F39=8,$F39=10,$F39=16),$H39=2),$AI39*Прайс!$E$76,IF(AND(OR($V39="",$V39=0),$X39="Матове",OR($F39=4,$F39=6,$F39=8,$F39=10,$F39=16),$H39=2),Просчет!$AI39*Прайс!$E$73,IF(AND(OR($V39="",$V39=0),$X39="Глянець",OR($F39=4,$F39=6,$F39=8,$F39=10,$F39=16),$H39=2),$AI39*Прайс!$E$75,IF(AND(OR($V39="",$V39=0),$X39="Софт(TS)",OR($F39=4,$F39=6,$F39=8,$F39=10,$F39=16),$H39=2),$AI39*Прайс!$E$74,IF(AND(OR($V39="",$V39=0),$X39="Матове покриття з патиною",OR($F39=4,$F39=6,$F39=8,$F39=10,$F39=16),$H39=2),$AI39*Прайс!$E$77,IF(AND(OR($V39="",$V39=0),$X39="Глянцеве покриття з патиною",OR($F39=4,$F39=6,$F39=8,$F39=10,$F39=16),$H39=2),$AI39*Прайс!$E$78,IF(AND(OR($V39="",$V39=0),$X39="Матовий DECAPE",OR($F39=4,$F39=6,$F39=8,$F39=10,$F39=16),$H39=2),$AI39*Прайс!$E$79,IF(AND(OR($V39="",$V39=0),$X39="Глянцевий DECAPE",OR($F39=4,$F39=6,$F39=8,$F39=10,$F39=16),$H39=2),$AI39*Прайс!$E$80,0)))))))))+IF(AND($S39=1,OR($H39=1,$H39=0),$X39=Наименование!$L$12,OR($F39=4,$F39=6,$F39=8,$F39=10,$F39=16)),$AI39*Прайс!$D$89,IF(AND($S39=1,OR($H39=1,$H39=0),$X39=Наименование!$L$13,OR($F39=4,$F39=6,$F39=8,$F39=10,$F39=16)),$AI39*Прайс!$D$90,IF(AND($S39=1,OR($H39=1,$H39=0),$X39=Наименование!$L59,OR($F39=4,$F39=6,$F39=8,$F39=10,$F39=16)),$AI39*Прайс!$D$91,IF(AND($S39=1,OR($H39=1,$H39=0),$X39=Наименование!$L$15,OR($F39=4,$F39=6,$F39=8,$F39=10,$F39=16)),$AI39*Прайс!$D$92,0))))+IF(AND($S39=1,$H39=2,$X39=Наименование!$L$12,OR($F39=4,$F39=6,$F39=8,$F39=10,$F39=16)),$AI39*Прайс!$E$89,IF(AND($S39=1,$H39=2,$X39=Наименование!$L$13,OR($F39=4,$F39=6,$F39=8,$F39=10,$F39=16)),$AI39*Прайс!$E$90,IF(AND($S39=1,$H39=2,$X39=Наименование!$L$14,OR($F39=4,$F39=6,$F39=8,$F39=10,$F39=16)),$AI39*Прайс!$E$91,IF(AND($S39=1,$H39=2,$X39=Наименование!$L$15,OR($F39=4,$F39=6,$F39=8,$F39=10,$F39=16)),$AI39*Прайс!$E$92))))</f>
        <v>0</v>
      </c>
      <c r="AA39" s="195">
        <f>IF($G39="Гладкий",IF(OR($C39=0,$C39=""),0,IF(AND(OR($V39="Перли",$V39="Металік",$V39="Перл.зол.",$V39="Перл.ср.",$V39="Перл.зол.",$V39="Зор.н.ср.",$V39="Зор.н.зол.",$V39="Зор.н.різн.",$V39="Гума"),$F39=19),$AI39*Прайс!$E$12,IF(AND(OR($V39="",$V39=0),$X39="Матове",$F39=19),$AI39*Прайс!$E$10,IF(AND(OR($V39="",$V39=0),$X39="Глянець",$F39=19),$AI39*Прайс!$E$11,IF(AND(OR($V39="",$V39=0),$X39="Софт(TS)",$F39=19),$AI39*Прайс!#REF!,0))))),0)+IF($G39="Гладкий",0,IF(AND(OR($V39="Перли",$V39="Металік",$V39="Перл.зол.",$V39="Перл.ср.",$V39="Перл.зол.",$V39="Зор.н.ср.",$V39="Зор.н.зол.",$V39="Зор.н.різн.",$V39="Гума"),$F39=19,$H39=1),Просчет!$AI39*Прайс!$F$76,IF(AND(OR($V39="",$V39=0),$X39="Матове",$F39=19,$H39=1),Просчет!$AI39*Прайс!$F$73,IF(AND(OR($V39="",$V39=0),$X39="Глянець",$F39=19,$H39=1),Просчет!$AI39*Прайс!$F$75,IF(AND(OR($V39="",$V39=0),$G39="Софт(TS)",$F39=19,$H39=1),$AI39*Прайс!$F$74,IF(AND(OR($V39="",$V39=0),$X39="Матове покриття з патиною",$F39=19,$H39=1),$AI39*Прайс!$F$77,IF(AND(OR($V39="",$V39=0),$X39="Глянцеве покриття з патиною",$F39=19,$H39=1),$AI39*Прайс!$F$78,IF(AND(OR($V39="",$V39=0),$X39="Матовий DECAPE",$F39=19,$H39=1),$AI39*Прайс!$F$79,IF(AND(OR($V39="",$V39=0),$X39="Глянцевий DECAPE",$F39=19,$H39=1),$AI39*Прайс!$F$80,0)))))))))+IF($G39="Гладкий",0,IF(AND(OR($V39="Перли",$V39="Металік",$V39="Перл.зол.",$V39="Перл.ср.",$V39="Перл.зол.",$V39="Зор.н.ср.",$V39="Зор.н.зол.",$V39="Зор.н.різн.",$V39="Гума"),$F39=19,$H39=2),$AI39*Прайс!$G$76,IF(AND(OR($V39="",$V39=0),$X39="Матове",$F39=19,$H39=2),Просчет!$AI39*Прайс!$G$73,IF(AND(OR($V39="",$V39=0),$X39="Глянець",$F39=19,$H39=2),$AI39*Прайс!$G$75,IF(AND(OR($V39="",$V39=0),$X39="Софт(TS)",$F39=19,$H39=2),$AI39*Прайс!$G$74,IF(AND(OR($V39="",$V39=0),$X39="Матове покриття з патиною",$F39=19,$H39=2),$AI39*Прайс!$G$77,IF(AND(OR($V39="",$V39=0),$X39="Глянцеве покриття з патиною",$F39=19,$H39=2),$AI39*Прайс!$G$78,IF(AND(OR($V39="",$V39=0),$X39="Матовий DECAPE",$F39=19,$H39=2),$AI39*Прайс!$G$79,IF(AND(OR($V39="",$V39=0),$X39="Глянцевий DECAPE",$F39=19,$H39=2),$AI39*Прайс!$G$78,0)))))))))+IF(AND($S39=1,OR($H39=1,$H39=0),$X39=Наименование!$L$12,$F39=19),$AI39*Прайс!$F$89,IF(AND($S39=1,OR($H39=1,$H39=0),$X39=Наименование!$L$13,$F39=19),$AI39*Прайс!$F$90,IF(AND($S39=1,OR($H39=1,$H39=0),$X39=Наименование!$L59,$F39=19),$AI39*Прайс!$F$91,IF(AND($S39=1,OR($H39=1,$H39=0),$X39=Наименование!$L$15,$F39=19),$AI39*Прайс!$F$92,0))))+IF(AND($S39=1,$H39=2,$X39=Наименование!$L$12,$F39=19),$AI39*Прайс!$G$89,IF(AND($S39=1,$H39=2,$X39=Наименование!$L$13,$F39=19),$AI39*Прайс!$G$90,IF(AND($S39=1,$H39=2,$X39=Наименование!$L$14,$F39=19),$AI39*Прайс!$G$91,IF(AND($S39=1,$H39=2,$X39=Наименование!$L$15,$F39=19),$AI39*Прайс!$G$92))))</f>
        <v>0</v>
      </c>
      <c r="AB39" s="195">
        <f>IF($G39="Гладкий",IF(OR($C39=0,$C39=""),0,IF($Y39="Матове",$AI39*(Прайс!$D$10-500),IF($Y39="Глянець",$AI39*(Прайс!$D$11-500),IF($Y39="Софт(TS)",$AI39*(Прайс!#REF!-500),0)))),0)+IF($G39="Гладкий",0,IF(AND($Y39="Матове",$H39=1),$AI39*Прайс!$D$73*0.5,IF(AND($Y39="Глянець",$H39=1),$AI39*Прайс!$D$75*0.5,IF(AND($Y39="Софт(TS)",$H39=1),$AI39*Прайс!$D$74*0.5,IF(AND($Y39="Матове покриття з патиною",$H39=1),$AI39*Прайс!$D$77*0.5,IF(AND($Y39="Глянцеве покриття з патиною",$H39=1),$AI39*Прайс!$D$78*0.5,IF(AND($Y39="Матовий DECAPE",$H39=1),$AI39*Прайс!$D$79*0.5,IF(AND($Y39="Глянцевий DECAPE",$H39=1),$AI39*Прайс!$D$80*0.5,0))))))))+IF($G39="Гладкий",0,IF(AND($Y39="Матове",$H39=2),$AI39*Прайс!$E$73*0.5,IF(AND($Y39="Глянець",$H39=2),$AI39*Прайс!$E$75*0.5,IF(AND($Y39="Софт(TS)",$H39=2),$AI39*Прайс!$E$74*0.5,IF(AND($Y39="Матове покриття з патиною",$H39=2),$AI39*Прайс!$E$77*0.5,IF(AND($Y39="Глянцеве покриття з патиною",$H39=2),$AI39*Прайс!$E$78*0.5,IF(AND($Y39="Матовий DECAPE",$H39=2),$AI39*Прайс!$E$79*0.5,IF(AND($Y39="Глянцевий DECAPE",$H39=2),$AI39*Прайс!$E$80*0.5,0)))))))+IF(AND($S39=1,OR($H39=1,$H39=0),$Y39=Прайс!$C$89),$AI39*[1]Прайс!$D$74*0.5,IF(AND($S39=1,OR($H39=1,$H39=0),$Y39=Прайс!$C$90),$AI39*Прайс!$D$90*0.5,IF(AND($S39=1,OR($H39=1,$H39=0),$Y39=Прайс!$C$91),$AI39*Прайс!$D$91*0.5,IF(AND($S39=1,OR($H39=1,$H39=0),$Y39=Прайс!$C$92),$AI39*Прайс!$D$92*0.5,0))))+IF(AND($S39=1,$H39=2,$Y39=Прайс!$C$89),$AI39*Прайс!$E$89*0.5,IF(AND($S39=1,$H39=2,$Y39=Прайс!$C$90),$AI39*Прайс!$E$90*0.5,IF(AND($S39=1,$H39=2,$Y39=Прайс!$C$91),$AI39*Прайс!$E$91*0.5,IF(AND($S39=1,$H39=2,$Y39=Прайс!$C$92),$AI39*Прайс!$E$92*0.5,0)))))</f>
        <v>0</v>
      </c>
      <c r="AC39" s="197" t="str">
        <f>IF(Бланк!AD56="","",Бланк!AD56*E39)</f>
        <v/>
      </c>
      <c r="AD39" s="195">
        <f>IF(OR($AC39=0,$AC39=""),0,$AC39*Прайс!$D$111)</f>
        <v>0</v>
      </c>
      <c r="AE39" s="197" t="str">
        <f>IF(Бланк!AE56="","",Бланк!AE56)</f>
        <v/>
      </c>
      <c r="AF39" s="197" t="str">
        <f>IF(Бланк!AF56="","",Бланк!AF56)</f>
        <v/>
      </c>
      <c r="AG39" s="197" t="str">
        <f>IF(Бланк!AG56="","",Бланк!AG56)</f>
        <v/>
      </c>
      <c r="AH39" s="197" t="str">
        <f>IF(Бланк!AH56="","",Бланк!AH56)</f>
        <v/>
      </c>
      <c r="AI39" s="139">
        <f>IF(Бланк!$AI56="","",Бланк!$AI56)</f>
        <v>0</v>
      </c>
      <c r="AJ39" s="198"/>
      <c r="AK39" s="198"/>
      <c r="AL39" s="198"/>
      <c r="AM39" s="199"/>
      <c r="AN39" s="199"/>
      <c r="AO39" s="199"/>
      <c r="AP39" s="199"/>
      <c r="AQ39" s="200"/>
      <c r="AR39" s="190"/>
    </row>
    <row r="40" spans="2:44" s="202" customFormat="1" ht="21" customHeight="1" x14ac:dyDescent="0.3">
      <c r="B40" s="201">
        <v>37</v>
      </c>
      <c r="C40" s="192" t="str">
        <f>IF(Бланк!$C57="","",Бланк!$C57/1000)</f>
        <v/>
      </c>
      <c r="D40" s="192" t="str">
        <f>IF(Бланк!$D57="","",Бланк!$D57/1000)</f>
        <v/>
      </c>
      <c r="E40" s="192" t="str">
        <f>IF(Бланк!$E57="","",Бланк!$E57)</f>
        <v/>
      </c>
      <c r="F40" s="192" t="str">
        <f>IF(Бланк!$F57="","",Бланк!$F57)</f>
        <v/>
      </c>
      <c r="G40" s="192" t="str">
        <f>IF(Бланк!$G57="","",Бланк!$G57)</f>
        <v/>
      </c>
      <c r="H40" s="193" t="str">
        <f>IF($G40="","",VLOOKUP($G40,Наименование!$M$42:$N$95,2,FALSE))</f>
        <v/>
      </c>
      <c r="I40" s="192" t="str">
        <f>IF(Бланк!$H57="","",Бланк!$H57)</f>
        <v/>
      </c>
      <c r="J40" s="192" t="str">
        <f>IF(Бланк!$I57="","",Бланк!$I57)</f>
        <v/>
      </c>
      <c r="K40" s="194" t="str">
        <f>IF(OR($J40="",$J40=0),"",IF($J40="Пряма з чвертю",(Прайс!$D$106+Прайс!$D$109)*Просчет!$E40,IF($J40="Пряма без чверті",Прайс!$D$106*Просчет!$E40,IF(AND($J40="Шпрос з чвертю",OR($C40&lt;1,$C40=1)),(Прайс!$D$37+Прайс!$D$40)*Просчет!$E40,IF(AND($J40="Шпрос з чвертю",$C40&gt;1),(Прайс!$F$37+Прайс!$D$40)*Просчет!$E40,IF(AND($J40="Шпрос без чверті",OR($C40&lt;1,$C40=1)),Прайс!$D$37*Просчет!$E40,IF(AND($J40="Шпрос без чверті",$C40&gt;1),Прайс!$F$37*Просчет!$E40,"")))))))</f>
        <v/>
      </c>
      <c r="L40" s="192" t="str">
        <f>IF(Бланк!$J57="","",Бланк!$J57/1000)</f>
        <v/>
      </c>
      <c r="M40" s="192" t="str">
        <f>IF(Бланк!$K57="","",Бланк!$K57)</f>
        <v/>
      </c>
      <c r="N40" s="195">
        <f t="shared" si="0"/>
        <v>0</v>
      </c>
      <c r="O40" s="194">
        <f>IF($G40="гладкий",IF($M40="","",IF(OR($M40="J № 1",$M40="J № 2",$M40="J № 2L",$M40="J № 2R",$M40="AJ № 2",$M40="AJ № 2L",$M40="AJ № 2R",$M40="U",$M40="V"),$N40*Прайс!$D$43,IF(OR($M40="AJ № 3R",$M40="AJ № 4R",$M40="AJ № 5R",$M40="AJ № 3L",$M40="AJ № 4L",$M40="AJ № 5L",$M40="AJ № 3",$M40="AJ № 4",$M40="AJ № 5",$M40="J № 3",$M40="J № 4",$M40="J № 5",$M40="J № 6",$M40="J № 7",$M40="L",$M40="AL"),Прайс!$D$43*$E40,IF(OR($M40="J № 3L",$M40="J № 3R",$M40="J № 4L",$M40="J № 4R",$M40="J № 5L",$M40="J № 5R"),$N40/2*Прайс!$D$47*$E40,IF($M40="45 град.",$N40*Прайс!$D$42,0))))),0)</f>
        <v>0</v>
      </c>
      <c r="P40" s="192" t="str">
        <f>IF(Бланк!$L57="","",Бланк!$L57)</f>
        <v/>
      </c>
      <c r="Q40" s="192" t="str">
        <f>IF(Бланк!$M57="","",Бланк!$M57)</f>
        <v/>
      </c>
      <c r="R40" s="194">
        <f>IF($P40="",0,IF($Q40=$U40,0,IF($Q40="",0,IF(OR($G40=35,$G40=36,$G40=37,$G40=38),Прайс!$D$118*Бланк!E57,IF(AND($G40="гладкий",OR($M40="J № 1",$M40="J № 2",$M40="J № 2L",$M40="J № 2R")),$N40*Прайс!$D$59,0)))))</f>
        <v>0</v>
      </c>
      <c r="S40" s="192" t="str">
        <f>IF(OR(Бланк!$O57=0,Бланк!$O57=""),"",1)</f>
        <v/>
      </c>
      <c r="T40" s="192" t="str">
        <f>IF(Бланк!$R57="","",Бланк!$R57)</f>
        <v/>
      </c>
      <c r="U40" s="192" t="str">
        <f>IF(Бланк!$S57="","",Бланк!$S57)</f>
        <v/>
      </c>
      <c r="V40" s="192" t="str">
        <f>IF(Бланк!$T57="","",Бланк!$T57)</f>
        <v/>
      </c>
      <c r="W40" s="196" t="str">
        <f>IF(Бланк!$W57="","",Бланк!$W57)</f>
        <v/>
      </c>
      <c r="X40" s="197" t="str">
        <f>IF(Бланк!AB57="","",Бланк!AB57)</f>
        <v/>
      </c>
      <c r="Y40" s="197" t="str">
        <f>IF(Бланк!AC57="","",Бланк!AC57)</f>
        <v/>
      </c>
      <c r="Z40" s="195">
        <f>IF($G40="Гладкий",IF(OR($C40=0,$C40=""),0,IF(AND(OR($V40="Перли",$V40="Металік",$V40="Перл.зол.",$V40="Перл.ср.",$V40="Перл.зол.",$V40="Зор.н.ср.",$V40="Зор.н.зол.",$V40="Зор.н.різн.",$V40="Гума"),OR($F40=4,$F40=6,$F40=8,$F40=10,$F40=16)),$AI40*Прайс!$D$12,IF(AND(OR($V40="",$V40=0),$X40="Матове",OR($F40=4,$F40=6,$F40=8,$F40=10,$F40=16)),$AI40*Прайс!$D$10,IF(AND(OR($V40="",$V40=0),$X40="Глянець",OR($F40=4,$F40=6,$F40=8,$F40=10,$F40=16)),$AI40*Прайс!$D$11,IF(AND(OR($V40="",$V40=0),$X40="Софт(TS)",OR($F40=4,$F40=6,$F40=8,$F40=10,$F40=16)),$AI40*Прайс!#REF!,0))))),0)+IF($G40="Гладкий",0,IF(AND(OR($V40="Перли",$V40="Металік",$V40="Перл.зол.",$V40="Перл.ср.",$V40="Перл.зол.",$V40="Зор.н.ср.",$V40="Зор.н.зол.",$V40="Зор.н.різн.",$V40="Гума"),OR($F40=4,$F40=6,$F40=8,$F40=10,$F40=16),$H40=1),Просчет!$AI40*Прайс!$D$76,IF(AND(OR($V40="",$V40=0),$X40="Матове",OR($F40=4,$F40=6,$F40=8,$F40=10,$F40=16),$H40=1),Просчет!$AI40*Прайс!$D$73,IF(AND(OR($V40="",$V40=0),$X40="Глянець",OR($F40=4,$F40=6,$F40=8,$F40=10,$F40=16),$H40=1),Просчет!$AI40*Прайс!$D$75,IF(AND(OR($V40="",$V40=0),$G40="Софт(TS)",OR($F40=4,$F40=6,$F40=8,$F40=10,$F40=16),$H40=1),$AI40*Прайс!$D$74,IF(AND(OR($V40="",$V40=0),$X40="Матове покриття з патиною",OR($F40=4,$F40=6,$F40=8,$F40=10,$F40=16),$H40=1),$AI40*Прайс!$D$77,IF(AND(OR($V40="",$V40=0),$X40="Глянцеве покриття з патиною",OR($F40=4,$F40=6,$F40=8,$F40=10,$F40=16),$H40=1),$AI40*Прайс!$D$78,IF(AND(OR($V40="",$V40=0),$X40="Матовий DECAPE",OR($F40=4,$F40=6,$F40=8,$F40=10,$F40=16),$H40=1),$AI40*Прайс!$D$79,IF(AND(OR($V40="",$V40=0),$X40="Глянцевий DECAPE",OR($F40=4,$F40=6,$F40=8,$F40=10,$F40=16),$H40=1),$AI40*Прайс!$D$80,0)))))))))+IF($G40="Гладкий",0,IF(AND(OR($V40="Перли",$V40="Металік",$V40="Перл.зол.",$V40="Перл.ср.",$V40="Перл.зол.",$V40="Зор.н.ср.",$V40="Зор.н.зол.",$V40="Зор.н.різн.",$V40="Гума"),OR($F40=4,$F40=6,$F40=8,$F40=10,$F40=16),$H40=2),$AI40*Прайс!$E$76,IF(AND(OR($V40="",$V40=0),$X40="Матове",OR($F40=4,$F40=6,$F40=8,$F40=10,$F40=16),$H40=2),Просчет!$AI40*Прайс!$E$73,IF(AND(OR($V40="",$V40=0),$X40="Глянець",OR($F40=4,$F40=6,$F40=8,$F40=10,$F40=16),$H40=2),$AI40*Прайс!$E$75,IF(AND(OR($V40="",$V40=0),$X40="Софт(TS)",OR($F40=4,$F40=6,$F40=8,$F40=10,$F40=16),$H40=2),$AI40*Прайс!$E$74,IF(AND(OR($V40="",$V40=0),$X40="Матове покриття з патиною",OR($F40=4,$F40=6,$F40=8,$F40=10,$F40=16),$H40=2),$AI40*Прайс!$E$77,IF(AND(OR($V40="",$V40=0),$X40="Глянцеве покриття з патиною",OR($F40=4,$F40=6,$F40=8,$F40=10,$F40=16),$H40=2),$AI40*Прайс!$E$78,IF(AND(OR($V40="",$V40=0),$X40="Матовий DECAPE",OR($F40=4,$F40=6,$F40=8,$F40=10,$F40=16),$H40=2),$AI40*Прайс!$E$79,IF(AND(OR($V40="",$V40=0),$X40="Глянцевий DECAPE",OR($F40=4,$F40=6,$F40=8,$F40=10,$F40=16),$H40=2),$AI40*Прайс!$E$80,0)))))))))+IF(AND($S40=1,OR($H40=1,$H40=0),$X40=Наименование!$L$12,OR($F40=4,$F40=6,$F40=8,$F40=10,$F40=16)),$AI40*Прайс!$D$89,IF(AND($S40=1,OR($H40=1,$H40=0),$X40=Наименование!$L$13,OR($F40=4,$F40=6,$F40=8,$F40=10,$F40=16)),$AI40*Прайс!$D$90,IF(AND($S40=1,OR($H40=1,$H40=0),$X40=Наименование!$L60,OR($F40=4,$F40=6,$F40=8,$F40=10,$F40=16)),$AI40*Прайс!$D$91,IF(AND($S40=1,OR($H40=1,$H40=0),$X40=Наименование!$L$15,OR($F40=4,$F40=6,$F40=8,$F40=10,$F40=16)),$AI40*Прайс!$D$92,0))))+IF(AND($S40=1,$H40=2,$X40=Наименование!$L$12,OR($F40=4,$F40=6,$F40=8,$F40=10,$F40=16)),$AI40*Прайс!$E$89,IF(AND($S40=1,$H40=2,$X40=Наименование!$L$13,OR($F40=4,$F40=6,$F40=8,$F40=10,$F40=16)),$AI40*Прайс!$E$90,IF(AND($S40=1,$H40=2,$X40=Наименование!$L$14,OR($F40=4,$F40=6,$F40=8,$F40=10,$F40=16)),$AI40*Прайс!$E$91,IF(AND($S40=1,$H40=2,$X40=Наименование!$L$15,OR($F40=4,$F40=6,$F40=8,$F40=10,$F40=16)),$AI40*Прайс!$E$92))))</f>
        <v>0</v>
      </c>
      <c r="AA40" s="195">
        <f>IF($G40="Гладкий",IF(OR($C40=0,$C40=""),0,IF(AND(OR($V40="Перли",$V40="Металік",$V40="Перл.зол.",$V40="Перл.ср.",$V40="Перл.зол.",$V40="Зор.н.ср.",$V40="Зор.н.зол.",$V40="Зор.н.різн.",$V40="Гума"),$F40=19),$AI40*Прайс!$E$12,IF(AND(OR($V40="",$V40=0),$X40="Матове",$F40=19),$AI40*Прайс!$E$10,IF(AND(OR($V40="",$V40=0),$X40="Глянець",$F40=19),$AI40*Прайс!$E$11,IF(AND(OR($V40="",$V40=0),$X40="Софт(TS)",$F40=19),$AI40*Прайс!#REF!,0))))),0)+IF($G40="Гладкий",0,IF(AND(OR($V40="Перли",$V40="Металік",$V40="Перл.зол.",$V40="Перл.ср.",$V40="Перл.зол.",$V40="Зор.н.ср.",$V40="Зор.н.зол.",$V40="Зор.н.різн.",$V40="Гума"),$F40=19,$H40=1),Просчет!$AI40*Прайс!$F$76,IF(AND(OR($V40="",$V40=0),$X40="Матове",$F40=19,$H40=1),Просчет!$AI40*Прайс!$F$73,IF(AND(OR($V40="",$V40=0),$X40="Глянець",$F40=19,$H40=1),Просчет!$AI40*Прайс!$F$75,IF(AND(OR($V40="",$V40=0),$G40="Софт(TS)",$F40=19,$H40=1),$AI40*Прайс!$F$74,IF(AND(OR($V40="",$V40=0),$X40="Матове покриття з патиною",$F40=19,$H40=1),$AI40*Прайс!$F$77,IF(AND(OR($V40="",$V40=0),$X40="Глянцеве покриття з патиною",$F40=19,$H40=1),$AI40*Прайс!$F$78,IF(AND(OR($V40="",$V40=0),$X40="Матовий DECAPE",$F40=19,$H40=1),$AI40*Прайс!$F$79,IF(AND(OR($V40="",$V40=0),$X40="Глянцевий DECAPE",$F40=19,$H40=1),$AI40*Прайс!$F$80,0)))))))))+IF($G40="Гладкий",0,IF(AND(OR($V40="Перли",$V40="Металік",$V40="Перл.зол.",$V40="Перл.ср.",$V40="Перл.зол.",$V40="Зор.н.ср.",$V40="Зор.н.зол.",$V40="Зор.н.різн.",$V40="Гума"),$F40=19,$H40=2),$AI40*Прайс!$G$76,IF(AND(OR($V40="",$V40=0),$X40="Матове",$F40=19,$H40=2),Просчет!$AI40*Прайс!$G$73,IF(AND(OR($V40="",$V40=0),$X40="Глянець",$F40=19,$H40=2),$AI40*Прайс!$G$75,IF(AND(OR($V40="",$V40=0),$X40="Софт(TS)",$F40=19,$H40=2),$AI40*Прайс!$G$74,IF(AND(OR($V40="",$V40=0),$X40="Матове покриття з патиною",$F40=19,$H40=2),$AI40*Прайс!$G$77,IF(AND(OR($V40="",$V40=0),$X40="Глянцеве покриття з патиною",$F40=19,$H40=2),$AI40*Прайс!$G$78,IF(AND(OR($V40="",$V40=0),$X40="Матовий DECAPE",$F40=19,$H40=2),$AI40*Прайс!$G$79,IF(AND(OR($V40="",$V40=0),$X40="Глянцевий DECAPE",$F40=19,$H40=2),$AI40*Прайс!$G$78,0)))))))))+IF(AND($S40=1,OR($H40=1,$H40=0),$X40=Наименование!$L$12,$F40=19),$AI40*Прайс!$F$89,IF(AND($S40=1,OR($H40=1,$H40=0),$X40=Наименование!$L$13,$F40=19),$AI40*Прайс!$F$90,IF(AND($S40=1,OR($H40=1,$H40=0),$X40=Наименование!$L60,$F40=19),$AI40*Прайс!$F$91,IF(AND($S40=1,OR($H40=1,$H40=0),$X40=Наименование!$L$15,$F40=19),$AI40*Прайс!$F$92,0))))+IF(AND($S40=1,$H40=2,$X40=Наименование!$L$12,$F40=19),$AI40*Прайс!$G$89,IF(AND($S40=1,$H40=2,$X40=Наименование!$L$13,$F40=19),$AI40*Прайс!$G$90,IF(AND($S40=1,$H40=2,$X40=Наименование!$L$14,$F40=19),$AI40*Прайс!$G$91,IF(AND($S40=1,$H40=2,$X40=Наименование!$L$15,$F40=19),$AI40*Прайс!$G$92))))</f>
        <v>0</v>
      </c>
      <c r="AB40" s="195">
        <f>IF($G40="Гладкий",IF(OR($C40=0,$C40=""),0,IF($Y40="Матове",$AI40*(Прайс!$D$10-500),IF($Y40="Глянець",$AI40*(Прайс!$D$11-500),IF($Y40="Софт(TS)",$AI40*(Прайс!#REF!-500),0)))),0)+IF($G40="Гладкий",0,IF(AND($Y40="Матове",$H40=1),$AI40*Прайс!$D$73*0.5,IF(AND($Y40="Глянець",$H40=1),$AI40*Прайс!$D$75*0.5,IF(AND($Y40="Софт(TS)",$H40=1),$AI40*Прайс!$D$74*0.5,IF(AND($Y40="Матове покриття з патиною",$H40=1),$AI40*Прайс!$D$77*0.5,IF(AND($Y40="Глянцеве покриття з патиною",$H40=1),$AI40*Прайс!$D$78*0.5,IF(AND($Y40="Матовий DECAPE",$H40=1),$AI40*Прайс!$D$79*0.5,IF(AND($Y40="Глянцевий DECAPE",$H40=1),$AI40*Прайс!$D$80*0.5,0))))))))+IF($G40="Гладкий",0,IF(AND($Y40="Матове",$H40=2),$AI40*Прайс!$E$73*0.5,IF(AND($Y40="Глянець",$H40=2),$AI40*Прайс!$E$75*0.5,IF(AND($Y40="Софт(TS)",$H40=2),$AI40*Прайс!$E$74*0.5,IF(AND($Y40="Матове покриття з патиною",$H40=2),$AI40*Прайс!$E$77*0.5,IF(AND($Y40="Глянцеве покриття з патиною",$H40=2),$AI40*Прайс!$E$78*0.5,IF(AND($Y40="Матовий DECAPE",$H40=2),$AI40*Прайс!$E$79*0.5,IF(AND($Y40="Глянцевий DECAPE",$H40=2),$AI40*Прайс!$E$80*0.5,0)))))))+IF(AND($S40=1,OR($H40=1,$H40=0),$Y40=Прайс!$C$89),$AI40*[1]Прайс!$D$74*0.5,IF(AND($S40=1,OR($H40=1,$H40=0),$Y40=Прайс!$C$90),$AI40*Прайс!$D$90*0.5,IF(AND($S40=1,OR($H40=1,$H40=0),$Y40=Прайс!$C$91),$AI40*Прайс!$D$91*0.5,IF(AND($S40=1,OR($H40=1,$H40=0),$Y40=Прайс!$C$92),$AI40*Прайс!$D$92*0.5,0))))+IF(AND($S40=1,$H40=2,$Y40=Прайс!$C$89),$AI40*Прайс!$E$89*0.5,IF(AND($S40=1,$H40=2,$Y40=Прайс!$C$90),$AI40*Прайс!$E$90*0.5,IF(AND($S40=1,$H40=2,$Y40=Прайс!$C$91),$AI40*Прайс!$E$91*0.5,IF(AND($S40=1,$H40=2,$Y40=Прайс!$C$92),$AI40*Прайс!$E$92*0.5,0)))))</f>
        <v>0</v>
      </c>
      <c r="AC40" s="197" t="str">
        <f>IF(Бланк!AD57="","",Бланк!AD57*E40)</f>
        <v/>
      </c>
      <c r="AD40" s="195">
        <f>IF(OR($AC40=0,$AC40=""),0,$AC40*Прайс!$D$111)</f>
        <v>0</v>
      </c>
      <c r="AE40" s="197" t="str">
        <f>IF(Бланк!AE57="","",Бланк!AE57)</f>
        <v/>
      </c>
      <c r="AF40" s="197" t="str">
        <f>IF(Бланк!AF57="","",Бланк!AF57)</f>
        <v/>
      </c>
      <c r="AG40" s="197" t="str">
        <f>IF(Бланк!AG57="","",Бланк!AG57)</f>
        <v/>
      </c>
      <c r="AH40" s="197" t="str">
        <f>IF(Бланк!AH57="","",Бланк!AH57)</f>
        <v/>
      </c>
      <c r="AI40" s="139">
        <f>IF(Бланк!$AI57="","",Бланк!$AI57)</f>
        <v>0</v>
      </c>
      <c r="AJ40" s="198"/>
      <c r="AK40" s="198"/>
      <c r="AL40" s="198"/>
      <c r="AM40" s="199"/>
      <c r="AN40" s="199"/>
      <c r="AO40" s="199"/>
      <c r="AP40" s="199"/>
      <c r="AQ40" s="200"/>
      <c r="AR40" s="190"/>
    </row>
    <row r="41" spans="2:44" s="202" customFormat="1" ht="21" customHeight="1" x14ac:dyDescent="0.3">
      <c r="B41" s="201">
        <v>38</v>
      </c>
      <c r="C41" s="192" t="str">
        <f>IF(Бланк!$C58="","",Бланк!$C58/1000)</f>
        <v/>
      </c>
      <c r="D41" s="192" t="str">
        <f>IF(Бланк!$D58="","",Бланк!$D58/1000)</f>
        <v/>
      </c>
      <c r="E41" s="192" t="str">
        <f>IF(Бланк!$E58="","",Бланк!$E58)</f>
        <v/>
      </c>
      <c r="F41" s="192" t="str">
        <f>IF(Бланк!$F58="","",Бланк!$F58)</f>
        <v/>
      </c>
      <c r="G41" s="192" t="str">
        <f>IF(Бланк!$G58="","",Бланк!$G58)</f>
        <v/>
      </c>
      <c r="H41" s="193" t="str">
        <f>IF($G41="","",VLOOKUP($G41,Наименование!$M$42:$N$95,2,FALSE))</f>
        <v/>
      </c>
      <c r="I41" s="192" t="str">
        <f>IF(Бланк!$H58="","",Бланк!$H58)</f>
        <v/>
      </c>
      <c r="J41" s="192" t="str">
        <f>IF(Бланк!$I58="","",Бланк!$I58)</f>
        <v/>
      </c>
      <c r="K41" s="194" t="str">
        <f>IF(OR($J41="",$J41=0),"",IF($J41="Пряма з чвертю",(Прайс!$D$106+Прайс!$D$109)*Просчет!$E41,IF($J41="Пряма без чверті",Прайс!$D$106*Просчет!$E41,IF(AND($J41="Шпрос з чвертю",OR($C41&lt;1,$C41=1)),(Прайс!$D$37+Прайс!$D$40)*Просчет!$E41,IF(AND($J41="Шпрос з чвертю",$C41&gt;1),(Прайс!$F$37+Прайс!$D$40)*Просчет!$E41,IF(AND($J41="Шпрос без чверті",OR($C41&lt;1,$C41=1)),Прайс!$D$37*Просчет!$E41,IF(AND($J41="Шпрос без чверті",$C41&gt;1),Прайс!$F$37*Просчет!$E41,"")))))))</f>
        <v/>
      </c>
      <c r="L41" s="192" t="str">
        <f>IF(Бланк!$J58="","",Бланк!$J58/1000)</f>
        <v/>
      </c>
      <c r="M41" s="192" t="str">
        <f>IF(Бланк!$K58="","",Бланк!$K58)</f>
        <v/>
      </c>
      <c r="N41" s="195">
        <f t="shared" si="0"/>
        <v>0</v>
      </c>
      <c r="O41" s="194">
        <f>IF($G41="гладкий",IF($M41="","",IF(OR($M41="J № 1",$M41="J № 2",$M41="J № 2L",$M41="J № 2R",$M41="AJ № 2",$M41="AJ № 2L",$M41="AJ № 2R",$M41="U",$M41="V"),$N41*Прайс!$D$43,IF(OR($M41="AJ № 3R",$M41="AJ № 4R",$M41="AJ № 5R",$M41="AJ № 3L",$M41="AJ № 4L",$M41="AJ № 5L",$M41="AJ № 3",$M41="AJ № 4",$M41="AJ № 5",$M41="J № 3",$M41="J № 4",$M41="J № 5",$M41="J № 6",$M41="J № 7",$M41="L",$M41="AL"),Прайс!$D$43*$E41,IF(OR($M41="J № 3L",$M41="J № 3R",$M41="J № 4L",$M41="J № 4R",$M41="J № 5L",$M41="J № 5R"),$N41/2*Прайс!$D$47*$E41,IF($M41="45 град.",$N41*Прайс!$D$42,0))))),0)</f>
        <v>0</v>
      </c>
      <c r="P41" s="192" t="str">
        <f>IF(Бланк!$L58="","",Бланк!$L58)</f>
        <v/>
      </c>
      <c r="Q41" s="192" t="str">
        <f>IF(Бланк!$M58="","",Бланк!$M58)</f>
        <v/>
      </c>
      <c r="R41" s="194">
        <f>IF($P41="",0,IF($Q41=$U41,0,IF($Q41="",0,IF(OR($G41=35,$G41=36,$G41=37,$G41=38),Прайс!$D$118*Бланк!E58,IF(AND($G41="гладкий",OR($M41="J № 1",$M41="J № 2",$M41="J № 2L",$M41="J № 2R")),$N41*Прайс!$D$59,0)))))</f>
        <v>0</v>
      </c>
      <c r="S41" s="192" t="str">
        <f>IF(OR(Бланк!$O58=0,Бланк!$O58=""),"",1)</f>
        <v/>
      </c>
      <c r="T41" s="192" t="str">
        <f>IF(Бланк!$R58="","",Бланк!$R58)</f>
        <v/>
      </c>
      <c r="U41" s="192" t="str">
        <f>IF(Бланк!$S58="","",Бланк!$S58)</f>
        <v/>
      </c>
      <c r="V41" s="192" t="str">
        <f>IF(Бланк!$T58="","",Бланк!$T58)</f>
        <v/>
      </c>
      <c r="W41" s="196" t="str">
        <f>IF(Бланк!$W58="","",Бланк!$W58)</f>
        <v/>
      </c>
      <c r="X41" s="197" t="str">
        <f>IF(Бланк!AB58="","",Бланк!AB58)</f>
        <v/>
      </c>
      <c r="Y41" s="197" t="str">
        <f>IF(Бланк!AC58="","",Бланк!AC58)</f>
        <v/>
      </c>
      <c r="Z41" s="195">
        <f>IF($G41="Гладкий",IF(OR($C41=0,$C41=""),0,IF(AND(OR($V41="Перли",$V41="Металік",$V41="Перл.зол.",$V41="Перл.ср.",$V41="Перл.зол.",$V41="Зор.н.ср.",$V41="Зор.н.зол.",$V41="Зор.н.різн.",$V41="Гума"),OR($F41=4,$F41=6,$F41=8,$F41=10,$F41=16)),$AI41*Прайс!$D$12,IF(AND(OR($V41="",$V41=0),$X41="Матове",OR($F41=4,$F41=6,$F41=8,$F41=10,$F41=16)),$AI41*Прайс!$D$10,IF(AND(OR($V41="",$V41=0),$X41="Глянець",OR($F41=4,$F41=6,$F41=8,$F41=10,$F41=16)),$AI41*Прайс!$D$11,IF(AND(OR($V41="",$V41=0),$X41="Софт(TS)",OR($F41=4,$F41=6,$F41=8,$F41=10,$F41=16)),$AI41*Прайс!#REF!,0))))),0)+IF($G41="Гладкий",0,IF(AND(OR($V41="Перли",$V41="Металік",$V41="Перл.зол.",$V41="Перл.ср.",$V41="Перл.зол.",$V41="Зор.н.ср.",$V41="Зор.н.зол.",$V41="Зор.н.різн.",$V41="Гума"),OR($F41=4,$F41=6,$F41=8,$F41=10,$F41=16),$H41=1),Просчет!$AI41*Прайс!$D$76,IF(AND(OR($V41="",$V41=0),$X41="Матове",OR($F41=4,$F41=6,$F41=8,$F41=10,$F41=16),$H41=1),Просчет!$AI41*Прайс!$D$73,IF(AND(OR($V41="",$V41=0),$X41="Глянець",OR($F41=4,$F41=6,$F41=8,$F41=10,$F41=16),$H41=1),Просчет!$AI41*Прайс!$D$75,IF(AND(OR($V41="",$V41=0),$G41="Софт(TS)",OR($F41=4,$F41=6,$F41=8,$F41=10,$F41=16),$H41=1),$AI41*Прайс!$D$74,IF(AND(OR($V41="",$V41=0),$X41="Матове покриття з патиною",OR($F41=4,$F41=6,$F41=8,$F41=10,$F41=16),$H41=1),$AI41*Прайс!$D$77,IF(AND(OR($V41="",$V41=0),$X41="Глянцеве покриття з патиною",OR($F41=4,$F41=6,$F41=8,$F41=10,$F41=16),$H41=1),$AI41*Прайс!$D$78,IF(AND(OR($V41="",$V41=0),$X41="Матовий DECAPE",OR($F41=4,$F41=6,$F41=8,$F41=10,$F41=16),$H41=1),$AI41*Прайс!$D$79,IF(AND(OR($V41="",$V41=0),$X41="Глянцевий DECAPE",OR($F41=4,$F41=6,$F41=8,$F41=10,$F41=16),$H41=1),$AI41*Прайс!$D$80,0)))))))))+IF($G41="Гладкий",0,IF(AND(OR($V41="Перли",$V41="Металік",$V41="Перл.зол.",$V41="Перл.ср.",$V41="Перл.зол.",$V41="Зор.н.ср.",$V41="Зор.н.зол.",$V41="Зор.н.різн.",$V41="Гума"),OR($F41=4,$F41=6,$F41=8,$F41=10,$F41=16),$H41=2),$AI41*Прайс!$E$76,IF(AND(OR($V41="",$V41=0),$X41="Матове",OR($F41=4,$F41=6,$F41=8,$F41=10,$F41=16),$H41=2),Просчет!$AI41*Прайс!$E$73,IF(AND(OR($V41="",$V41=0),$X41="Глянець",OR($F41=4,$F41=6,$F41=8,$F41=10,$F41=16),$H41=2),$AI41*Прайс!$E$75,IF(AND(OR($V41="",$V41=0),$X41="Софт(TS)",OR($F41=4,$F41=6,$F41=8,$F41=10,$F41=16),$H41=2),$AI41*Прайс!$E$74,IF(AND(OR($V41="",$V41=0),$X41="Матове покриття з патиною",OR($F41=4,$F41=6,$F41=8,$F41=10,$F41=16),$H41=2),$AI41*Прайс!$E$77,IF(AND(OR($V41="",$V41=0),$X41="Глянцеве покриття з патиною",OR($F41=4,$F41=6,$F41=8,$F41=10,$F41=16),$H41=2),$AI41*Прайс!$E$78,IF(AND(OR($V41="",$V41=0),$X41="Матовий DECAPE",OR($F41=4,$F41=6,$F41=8,$F41=10,$F41=16),$H41=2),$AI41*Прайс!$E$79,IF(AND(OR($V41="",$V41=0),$X41="Глянцевий DECAPE",OR($F41=4,$F41=6,$F41=8,$F41=10,$F41=16),$H41=2),$AI41*Прайс!$E$80,0)))))))))+IF(AND($S41=1,OR($H41=1,$H41=0),$X41=Наименование!$L$12,OR($F41=4,$F41=6,$F41=8,$F41=10,$F41=16)),$AI41*Прайс!$D$89,IF(AND($S41=1,OR($H41=1,$H41=0),$X41=Наименование!$L$13,OR($F41=4,$F41=6,$F41=8,$F41=10,$F41=16)),$AI41*Прайс!$D$90,IF(AND($S41=1,OR($H41=1,$H41=0),$X41=Наименование!$L61,OR($F41=4,$F41=6,$F41=8,$F41=10,$F41=16)),$AI41*Прайс!$D$91,IF(AND($S41=1,OR($H41=1,$H41=0),$X41=Наименование!$L$15,OR($F41=4,$F41=6,$F41=8,$F41=10,$F41=16)),$AI41*Прайс!$D$92,0))))+IF(AND($S41=1,$H41=2,$X41=Наименование!$L$12,OR($F41=4,$F41=6,$F41=8,$F41=10,$F41=16)),$AI41*Прайс!$E$89,IF(AND($S41=1,$H41=2,$X41=Наименование!$L$13,OR($F41=4,$F41=6,$F41=8,$F41=10,$F41=16)),$AI41*Прайс!$E$90,IF(AND($S41=1,$H41=2,$X41=Наименование!$L$14,OR($F41=4,$F41=6,$F41=8,$F41=10,$F41=16)),$AI41*Прайс!$E$91,IF(AND($S41=1,$H41=2,$X41=Наименование!$L$15,OR($F41=4,$F41=6,$F41=8,$F41=10,$F41=16)),$AI41*Прайс!$E$92))))</f>
        <v>0</v>
      </c>
      <c r="AA41" s="195">
        <f>IF($G41="Гладкий",IF(OR($C41=0,$C41=""),0,IF(AND(OR($V41="Перли",$V41="Металік",$V41="Перл.зол.",$V41="Перл.ср.",$V41="Перл.зол.",$V41="Зор.н.ср.",$V41="Зор.н.зол.",$V41="Зор.н.різн.",$V41="Гума"),$F41=19),$AI41*Прайс!$E$12,IF(AND(OR($V41="",$V41=0),$X41="Матове",$F41=19),$AI41*Прайс!$E$10,IF(AND(OR($V41="",$V41=0),$X41="Глянець",$F41=19),$AI41*Прайс!$E$11,IF(AND(OR($V41="",$V41=0),$X41="Софт(TS)",$F41=19),$AI41*Прайс!#REF!,0))))),0)+IF($G41="Гладкий",0,IF(AND(OR($V41="Перли",$V41="Металік",$V41="Перл.зол.",$V41="Перл.ср.",$V41="Перл.зол.",$V41="Зор.н.ср.",$V41="Зор.н.зол.",$V41="Зор.н.різн.",$V41="Гума"),$F41=19,$H41=1),Просчет!$AI41*Прайс!$F$76,IF(AND(OR($V41="",$V41=0),$X41="Матове",$F41=19,$H41=1),Просчет!$AI41*Прайс!$F$73,IF(AND(OR($V41="",$V41=0),$X41="Глянець",$F41=19,$H41=1),Просчет!$AI41*Прайс!$F$75,IF(AND(OR($V41="",$V41=0),$G41="Софт(TS)",$F41=19,$H41=1),$AI41*Прайс!$F$74,IF(AND(OR($V41="",$V41=0),$X41="Матове покриття з патиною",$F41=19,$H41=1),$AI41*Прайс!$F$77,IF(AND(OR($V41="",$V41=0),$X41="Глянцеве покриття з патиною",$F41=19,$H41=1),$AI41*Прайс!$F$78,IF(AND(OR($V41="",$V41=0),$X41="Матовий DECAPE",$F41=19,$H41=1),$AI41*Прайс!$F$79,IF(AND(OR($V41="",$V41=0),$X41="Глянцевий DECAPE",$F41=19,$H41=1),$AI41*Прайс!$F$80,0)))))))))+IF($G41="Гладкий",0,IF(AND(OR($V41="Перли",$V41="Металік",$V41="Перл.зол.",$V41="Перл.ср.",$V41="Перл.зол.",$V41="Зор.н.ср.",$V41="Зор.н.зол.",$V41="Зор.н.різн.",$V41="Гума"),$F41=19,$H41=2),$AI41*Прайс!$G$76,IF(AND(OR($V41="",$V41=0),$X41="Матове",$F41=19,$H41=2),Просчет!$AI41*Прайс!$G$73,IF(AND(OR($V41="",$V41=0),$X41="Глянець",$F41=19,$H41=2),$AI41*Прайс!$G$75,IF(AND(OR($V41="",$V41=0),$X41="Софт(TS)",$F41=19,$H41=2),$AI41*Прайс!$G$74,IF(AND(OR($V41="",$V41=0),$X41="Матове покриття з патиною",$F41=19,$H41=2),$AI41*Прайс!$G$77,IF(AND(OR($V41="",$V41=0),$X41="Глянцеве покриття з патиною",$F41=19,$H41=2),$AI41*Прайс!$G$78,IF(AND(OR($V41="",$V41=0),$X41="Матовий DECAPE",$F41=19,$H41=2),$AI41*Прайс!$G$79,IF(AND(OR($V41="",$V41=0),$X41="Глянцевий DECAPE",$F41=19,$H41=2),$AI41*Прайс!$G$78,0)))))))))+IF(AND($S41=1,OR($H41=1,$H41=0),$X41=Наименование!$L$12,$F41=19),$AI41*Прайс!$F$89,IF(AND($S41=1,OR($H41=1,$H41=0),$X41=Наименование!$L$13,$F41=19),$AI41*Прайс!$F$90,IF(AND($S41=1,OR($H41=1,$H41=0),$X41=Наименование!$L61,$F41=19),$AI41*Прайс!$F$91,IF(AND($S41=1,OR($H41=1,$H41=0),$X41=Наименование!$L$15,$F41=19),$AI41*Прайс!$F$92,0))))+IF(AND($S41=1,$H41=2,$X41=Наименование!$L$12,$F41=19),$AI41*Прайс!$G$89,IF(AND($S41=1,$H41=2,$X41=Наименование!$L$13,$F41=19),$AI41*Прайс!$G$90,IF(AND($S41=1,$H41=2,$X41=Наименование!$L$14,$F41=19),$AI41*Прайс!$G$91,IF(AND($S41=1,$H41=2,$X41=Наименование!$L$15,$F41=19),$AI41*Прайс!$G$92))))</f>
        <v>0</v>
      </c>
      <c r="AB41" s="195">
        <f>IF($G41="Гладкий",IF(OR($C41=0,$C41=""),0,IF($Y41="Матове",$AI41*(Прайс!$D$10-500),IF($Y41="Глянець",$AI41*(Прайс!$D$11-500),IF($Y41="Софт(TS)",$AI41*(Прайс!#REF!-500),0)))),0)+IF($G41="Гладкий",0,IF(AND($Y41="Матове",$H41=1),$AI41*Прайс!$D$73*0.5,IF(AND($Y41="Глянець",$H41=1),$AI41*Прайс!$D$75*0.5,IF(AND($Y41="Софт(TS)",$H41=1),$AI41*Прайс!$D$74*0.5,IF(AND($Y41="Матове покриття з патиною",$H41=1),$AI41*Прайс!$D$77*0.5,IF(AND($Y41="Глянцеве покриття з патиною",$H41=1),$AI41*Прайс!$D$78*0.5,IF(AND($Y41="Матовий DECAPE",$H41=1),$AI41*Прайс!$D$79*0.5,IF(AND($Y41="Глянцевий DECAPE",$H41=1),$AI41*Прайс!$D$80*0.5,0))))))))+IF($G41="Гладкий",0,IF(AND($Y41="Матове",$H41=2),$AI41*Прайс!$E$73*0.5,IF(AND($Y41="Глянець",$H41=2),$AI41*Прайс!$E$75*0.5,IF(AND($Y41="Софт(TS)",$H41=2),$AI41*Прайс!$E$74*0.5,IF(AND($Y41="Матове покриття з патиною",$H41=2),$AI41*Прайс!$E$77*0.5,IF(AND($Y41="Глянцеве покриття з патиною",$H41=2),$AI41*Прайс!$E$78*0.5,IF(AND($Y41="Матовий DECAPE",$H41=2),$AI41*Прайс!$E$79*0.5,IF(AND($Y41="Глянцевий DECAPE",$H41=2),$AI41*Прайс!$E$80*0.5,0)))))))+IF(AND($S41=1,OR($H41=1,$H41=0),$Y41=Прайс!$C$89),$AI41*[1]Прайс!$D$74*0.5,IF(AND($S41=1,OR($H41=1,$H41=0),$Y41=Прайс!$C$90),$AI41*Прайс!$D$90*0.5,IF(AND($S41=1,OR($H41=1,$H41=0),$Y41=Прайс!$C$91),$AI41*Прайс!$D$91*0.5,IF(AND($S41=1,OR($H41=1,$H41=0),$Y41=Прайс!$C$92),$AI41*Прайс!$D$92*0.5,0))))+IF(AND($S41=1,$H41=2,$Y41=Прайс!$C$89),$AI41*Прайс!$E$89*0.5,IF(AND($S41=1,$H41=2,$Y41=Прайс!$C$90),$AI41*Прайс!$E$90*0.5,IF(AND($S41=1,$H41=2,$Y41=Прайс!$C$91),$AI41*Прайс!$E$91*0.5,IF(AND($S41=1,$H41=2,$Y41=Прайс!$C$92),$AI41*Прайс!$E$92*0.5,0)))))</f>
        <v>0</v>
      </c>
      <c r="AC41" s="197" t="str">
        <f>IF(Бланк!AD58="","",Бланк!AD58*E41)</f>
        <v/>
      </c>
      <c r="AD41" s="195">
        <f>IF(OR($AC41=0,$AC41=""),0,$AC41*Прайс!$D$111)</f>
        <v>0</v>
      </c>
      <c r="AE41" s="197" t="str">
        <f>IF(Бланк!AE58="","",Бланк!AE58)</f>
        <v/>
      </c>
      <c r="AF41" s="197" t="str">
        <f>IF(Бланк!AF58="","",Бланк!AF58)</f>
        <v/>
      </c>
      <c r="AG41" s="197" t="str">
        <f>IF(Бланк!AG58="","",Бланк!AG58)</f>
        <v/>
      </c>
      <c r="AH41" s="197" t="str">
        <f>IF(Бланк!AH58="","",Бланк!AH58)</f>
        <v/>
      </c>
      <c r="AI41" s="139">
        <f>IF(Бланк!$AI58="","",Бланк!$AI58)</f>
        <v>0</v>
      </c>
      <c r="AJ41" s="198"/>
      <c r="AK41" s="198"/>
      <c r="AL41" s="198"/>
      <c r="AM41" s="199"/>
      <c r="AN41" s="199"/>
      <c r="AO41" s="199"/>
      <c r="AP41" s="199"/>
      <c r="AQ41" s="200"/>
      <c r="AR41" s="190"/>
    </row>
    <row r="42" spans="2:44" s="202" customFormat="1" ht="21" customHeight="1" x14ac:dyDescent="0.3">
      <c r="B42" s="201">
        <v>39</v>
      </c>
      <c r="C42" s="192" t="str">
        <f>IF(Бланк!$C59="","",Бланк!$C59/1000)</f>
        <v/>
      </c>
      <c r="D42" s="192" t="str">
        <f>IF(Бланк!$D59="","",Бланк!$D59/1000)</f>
        <v/>
      </c>
      <c r="E42" s="192" t="str">
        <f>IF(Бланк!$E59="","",Бланк!$E59)</f>
        <v/>
      </c>
      <c r="F42" s="192" t="str">
        <f>IF(Бланк!$F59="","",Бланк!$F59)</f>
        <v/>
      </c>
      <c r="G42" s="192" t="str">
        <f>IF(Бланк!$G59="","",Бланк!$G59)</f>
        <v/>
      </c>
      <c r="H42" s="193" t="str">
        <f>IF($G42="","",VLOOKUP($G42,Наименование!$M$42:$N$95,2,FALSE))</f>
        <v/>
      </c>
      <c r="I42" s="192" t="str">
        <f>IF(Бланк!$H59="","",Бланк!$H59)</f>
        <v/>
      </c>
      <c r="J42" s="192" t="str">
        <f>IF(Бланк!$I59="","",Бланк!$I59)</f>
        <v/>
      </c>
      <c r="K42" s="194" t="str">
        <f>IF(OR($J42="",$J42=0),"",IF($J42="Пряма з чвертю",(Прайс!$D$106+Прайс!$D$109)*Просчет!$E42,IF($J42="Пряма без чверті",Прайс!$D$106*Просчет!$E42,IF(AND($J42="Шпрос з чвертю",OR($C42&lt;1,$C42=1)),(Прайс!$D$37+Прайс!$D$40)*Просчет!$E42,IF(AND($J42="Шпрос з чвертю",$C42&gt;1),(Прайс!$F$37+Прайс!$D$40)*Просчет!$E42,IF(AND($J42="Шпрос без чверті",OR($C42&lt;1,$C42=1)),Прайс!$D$37*Просчет!$E42,IF(AND($J42="Шпрос без чверті",$C42&gt;1),Прайс!$F$37*Просчет!$E42,"")))))))</f>
        <v/>
      </c>
      <c r="L42" s="192" t="str">
        <f>IF(Бланк!$J59="","",Бланк!$J59/1000)</f>
        <v/>
      </c>
      <c r="M42" s="192" t="str">
        <f>IF(Бланк!$K59="","",Бланк!$K59)</f>
        <v/>
      </c>
      <c r="N42" s="195">
        <f t="shared" si="0"/>
        <v>0</v>
      </c>
      <c r="O42" s="194">
        <f>IF($G42="гладкий",IF($M42="","",IF(OR($M42="J № 1",$M42="J № 2",$M42="J № 2L",$M42="J № 2R",$M42="AJ № 2",$M42="AJ № 2L",$M42="AJ № 2R",$M42="U",$M42="V"),$N42*Прайс!$D$43,IF(OR($M42="AJ № 3R",$M42="AJ № 4R",$M42="AJ № 5R",$M42="AJ № 3L",$M42="AJ № 4L",$M42="AJ № 5L",$M42="AJ № 3",$M42="AJ № 4",$M42="AJ № 5",$M42="J № 3",$M42="J № 4",$M42="J № 5",$M42="J № 6",$M42="J № 7",$M42="L",$M42="AL"),Прайс!$D$43*$E42,IF(OR($M42="J № 3L",$M42="J № 3R",$M42="J № 4L",$M42="J № 4R",$M42="J № 5L",$M42="J № 5R"),$N42/2*Прайс!$D$47*$E42,IF($M42="45 град.",$N42*Прайс!$D$42,0))))),0)</f>
        <v>0</v>
      </c>
      <c r="P42" s="192" t="str">
        <f>IF(Бланк!$L59="","",Бланк!$L59)</f>
        <v/>
      </c>
      <c r="Q42" s="192" t="str">
        <f>IF(Бланк!$M59="","",Бланк!$M59)</f>
        <v/>
      </c>
      <c r="R42" s="194">
        <f>IF($P42="",0,IF($Q42=$U42,0,IF($Q42="",0,IF(OR($G42=35,$G42=36,$G42=37,$G42=38),Прайс!$D$118*Бланк!E59,IF(AND($G42="гладкий",OR($M42="J № 1",$M42="J № 2",$M42="J № 2L",$M42="J № 2R")),$N42*Прайс!$D$59,0)))))</f>
        <v>0</v>
      </c>
      <c r="S42" s="192" t="str">
        <f>IF(OR(Бланк!$O59=0,Бланк!$O59=""),"",1)</f>
        <v/>
      </c>
      <c r="T42" s="192" t="str">
        <f>IF(Бланк!$R59="","",Бланк!$R59)</f>
        <v/>
      </c>
      <c r="U42" s="192" t="str">
        <f>IF(Бланк!$S59="","",Бланк!$S59)</f>
        <v/>
      </c>
      <c r="V42" s="192" t="str">
        <f>IF(Бланк!$T59="","",Бланк!$T59)</f>
        <v/>
      </c>
      <c r="W42" s="196" t="str">
        <f>IF(Бланк!$W59="","",Бланк!$W59)</f>
        <v/>
      </c>
      <c r="X42" s="197" t="str">
        <f>IF(Бланк!AB59="","",Бланк!AB59)</f>
        <v/>
      </c>
      <c r="Y42" s="197" t="str">
        <f>IF(Бланк!AC59="","",Бланк!AC59)</f>
        <v/>
      </c>
      <c r="Z42" s="195">
        <f>IF($G42="Гладкий",IF(OR($C42=0,$C42=""),0,IF(AND(OR($V42="Перли",$V42="Металік",$V42="Перл.зол.",$V42="Перл.ср.",$V42="Перл.зол.",$V42="Зор.н.ср.",$V42="Зор.н.зол.",$V42="Зор.н.різн.",$V42="Гума"),OR($F42=4,$F42=6,$F42=8,$F42=10,$F42=16)),$AI42*Прайс!$D$12,IF(AND(OR($V42="",$V42=0),$X42="Матове",OR($F42=4,$F42=6,$F42=8,$F42=10,$F42=16)),$AI42*Прайс!$D$10,IF(AND(OR($V42="",$V42=0),$X42="Глянець",OR($F42=4,$F42=6,$F42=8,$F42=10,$F42=16)),$AI42*Прайс!$D$11,IF(AND(OR($V42="",$V42=0),$X42="Софт(TS)",OR($F42=4,$F42=6,$F42=8,$F42=10,$F42=16)),$AI42*Прайс!#REF!,0))))),0)+IF($G42="Гладкий",0,IF(AND(OR($V42="Перли",$V42="Металік",$V42="Перл.зол.",$V42="Перл.ср.",$V42="Перл.зол.",$V42="Зор.н.ср.",$V42="Зор.н.зол.",$V42="Зор.н.різн.",$V42="Гума"),OR($F42=4,$F42=6,$F42=8,$F42=10,$F42=16),$H42=1),Просчет!$AI42*Прайс!$D$76,IF(AND(OR($V42="",$V42=0),$X42="Матове",OR($F42=4,$F42=6,$F42=8,$F42=10,$F42=16),$H42=1),Просчет!$AI42*Прайс!$D$73,IF(AND(OR($V42="",$V42=0),$X42="Глянець",OR($F42=4,$F42=6,$F42=8,$F42=10,$F42=16),$H42=1),Просчет!$AI42*Прайс!$D$75,IF(AND(OR($V42="",$V42=0),$G42="Софт(TS)",OR($F42=4,$F42=6,$F42=8,$F42=10,$F42=16),$H42=1),$AI42*Прайс!$D$74,IF(AND(OR($V42="",$V42=0),$X42="Матове покриття з патиною",OR($F42=4,$F42=6,$F42=8,$F42=10,$F42=16),$H42=1),$AI42*Прайс!$D$77,IF(AND(OR($V42="",$V42=0),$X42="Глянцеве покриття з патиною",OR($F42=4,$F42=6,$F42=8,$F42=10,$F42=16),$H42=1),$AI42*Прайс!$D$78,IF(AND(OR($V42="",$V42=0),$X42="Матовий DECAPE",OR($F42=4,$F42=6,$F42=8,$F42=10,$F42=16),$H42=1),$AI42*Прайс!$D$79,IF(AND(OR($V42="",$V42=0),$X42="Глянцевий DECAPE",OR($F42=4,$F42=6,$F42=8,$F42=10,$F42=16),$H42=1),$AI42*Прайс!$D$80,0)))))))))+IF($G42="Гладкий",0,IF(AND(OR($V42="Перли",$V42="Металік",$V42="Перл.зол.",$V42="Перл.ср.",$V42="Перл.зол.",$V42="Зор.н.ср.",$V42="Зор.н.зол.",$V42="Зор.н.різн.",$V42="Гума"),OR($F42=4,$F42=6,$F42=8,$F42=10,$F42=16),$H42=2),$AI42*Прайс!$E$76,IF(AND(OR($V42="",$V42=0),$X42="Матове",OR($F42=4,$F42=6,$F42=8,$F42=10,$F42=16),$H42=2),Просчет!$AI42*Прайс!$E$73,IF(AND(OR($V42="",$V42=0),$X42="Глянець",OR($F42=4,$F42=6,$F42=8,$F42=10,$F42=16),$H42=2),$AI42*Прайс!$E$75,IF(AND(OR($V42="",$V42=0),$X42="Софт(TS)",OR($F42=4,$F42=6,$F42=8,$F42=10,$F42=16),$H42=2),$AI42*Прайс!$E$74,IF(AND(OR($V42="",$V42=0),$X42="Матове покриття з патиною",OR($F42=4,$F42=6,$F42=8,$F42=10,$F42=16),$H42=2),$AI42*Прайс!$E$77,IF(AND(OR($V42="",$V42=0),$X42="Глянцеве покриття з патиною",OR($F42=4,$F42=6,$F42=8,$F42=10,$F42=16),$H42=2),$AI42*Прайс!$E$78,IF(AND(OR($V42="",$V42=0),$X42="Матовий DECAPE",OR($F42=4,$F42=6,$F42=8,$F42=10,$F42=16),$H42=2),$AI42*Прайс!$E$79,IF(AND(OR($V42="",$V42=0),$X42="Глянцевий DECAPE",OR($F42=4,$F42=6,$F42=8,$F42=10,$F42=16),$H42=2),$AI42*Прайс!$E$80,0)))))))))+IF(AND($S42=1,OR($H42=1,$H42=0),$X42=Наименование!$L$12,OR($F42=4,$F42=6,$F42=8,$F42=10,$F42=16)),$AI42*Прайс!$D$89,IF(AND($S42=1,OR($H42=1,$H42=0),$X42=Наименование!$L$13,OR($F42=4,$F42=6,$F42=8,$F42=10,$F42=16)),$AI42*Прайс!$D$90,IF(AND($S42=1,OR($H42=1,$H42=0),$X42=Наименование!$L62,OR($F42=4,$F42=6,$F42=8,$F42=10,$F42=16)),$AI42*Прайс!$D$91,IF(AND($S42=1,OR($H42=1,$H42=0),$X42=Наименование!$L$15,OR($F42=4,$F42=6,$F42=8,$F42=10,$F42=16)),$AI42*Прайс!$D$92,0))))+IF(AND($S42=1,$H42=2,$X42=Наименование!$L$12,OR($F42=4,$F42=6,$F42=8,$F42=10,$F42=16)),$AI42*Прайс!$E$89,IF(AND($S42=1,$H42=2,$X42=Наименование!$L$13,OR($F42=4,$F42=6,$F42=8,$F42=10,$F42=16)),$AI42*Прайс!$E$90,IF(AND($S42=1,$H42=2,$X42=Наименование!$L$14,OR($F42=4,$F42=6,$F42=8,$F42=10,$F42=16)),$AI42*Прайс!$E$91,IF(AND($S42=1,$H42=2,$X42=Наименование!$L$15,OR($F42=4,$F42=6,$F42=8,$F42=10,$F42=16)),$AI42*Прайс!$E$92))))</f>
        <v>0</v>
      </c>
      <c r="AA42" s="195">
        <f>IF($G42="Гладкий",IF(OR($C42=0,$C42=""),0,IF(AND(OR($V42="Перли",$V42="Металік",$V42="Перл.зол.",$V42="Перл.ср.",$V42="Перл.зол.",$V42="Зор.н.ср.",$V42="Зор.н.зол.",$V42="Зор.н.різн.",$V42="Гума"),$F42=19),$AI42*Прайс!$E$12,IF(AND(OR($V42="",$V42=0),$X42="Матове",$F42=19),$AI42*Прайс!$E$10,IF(AND(OR($V42="",$V42=0),$X42="Глянець",$F42=19),$AI42*Прайс!$E$11,IF(AND(OR($V42="",$V42=0),$X42="Софт(TS)",$F42=19),$AI42*Прайс!#REF!,0))))),0)+IF($G42="Гладкий",0,IF(AND(OR($V42="Перли",$V42="Металік",$V42="Перл.зол.",$V42="Перл.ср.",$V42="Перл.зол.",$V42="Зор.н.ср.",$V42="Зор.н.зол.",$V42="Зор.н.різн.",$V42="Гума"),$F42=19,$H42=1),Просчет!$AI42*Прайс!$F$76,IF(AND(OR($V42="",$V42=0),$X42="Матове",$F42=19,$H42=1),Просчет!$AI42*Прайс!$F$73,IF(AND(OR($V42="",$V42=0),$X42="Глянець",$F42=19,$H42=1),Просчет!$AI42*Прайс!$F$75,IF(AND(OR($V42="",$V42=0),$G42="Софт(TS)",$F42=19,$H42=1),$AI42*Прайс!$F$74,IF(AND(OR($V42="",$V42=0),$X42="Матове покриття з патиною",$F42=19,$H42=1),$AI42*Прайс!$F$77,IF(AND(OR($V42="",$V42=0),$X42="Глянцеве покриття з патиною",$F42=19,$H42=1),$AI42*Прайс!$F$78,IF(AND(OR($V42="",$V42=0),$X42="Матовий DECAPE",$F42=19,$H42=1),$AI42*Прайс!$F$79,IF(AND(OR($V42="",$V42=0),$X42="Глянцевий DECAPE",$F42=19,$H42=1),$AI42*Прайс!$F$80,0)))))))))+IF($G42="Гладкий",0,IF(AND(OR($V42="Перли",$V42="Металік",$V42="Перл.зол.",$V42="Перл.ср.",$V42="Перл.зол.",$V42="Зор.н.ср.",$V42="Зор.н.зол.",$V42="Зор.н.різн.",$V42="Гума"),$F42=19,$H42=2),$AI42*Прайс!$G$76,IF(AND(OR($V42="",$V42=0),$X42="Матове",$F42=19,$H42=2),Просчет!$AI42*Прайс!$G$73,IF(AND(OR($V42="",$V42=0),$X42="Глянець",$F42=19,$H42=2),$AI42*Прайс!$G$75,IF(AND(OR($V42="",$V42=0),$X42="Софт(TS)",$F42=19,$H42=2),$AI42*Прайс!$G$74,IF(AND(OR($V42="",$V42=0),$X42="Матове покриття з патиною",$F42=19,$H42=2),$AI42*Прайс!$G$77,IF(AND(OR($V42="",$V42=0),$X42="Глянцеве покриття з патиною",$F42=19,$H42=2),$AI42*Прайс!$G$78,IF(AND(OR($V42="",$V42=0),$X42="Матовий DECAPE",$F42=19,$H42=2),$AI42*Прайс!$G$79,IF(AND(OR($V42="",$V42=0),$X42="Глянцевий DECAPE",$F42=19,$H42=2),$AI42*Прайс!$G$78,0)))))))))+IF(AND($S42=1,OR($H42=1,$H42=0),$X42=Наименование!$L$12,$F42=19),$AI42*Прайс!$F$89,IF(AND($S42=1,OR($H42=1,$H42=0),$X42=Наименование!$L$13,$F42=19),$AI42*Прайс!$F$90,IF(AND($S42=1,OR($H42=1,$H42=0),$X42=Наименование!$L62,$F42=19),$AI42*Прайс!$F$91,IF(AND($S42=1,OR($H42=1,$H42=0),$X42=Наименование!$L$15,$F42=19),$AI42*Прайс!$F$92,0))))+IF(AND($S42=1,$H42=2,$X42=Наименование!$L$12,$F42=19),$AI42*Прайс!$G$89,IF(AND($S42=1,$H42=2,$X42=Наименование!$L$13,$F42=19),$AI42*Прайс!$G$90,IF(AND($S42=1,$H42=2,$X42=Наименование!$L$14,$F42=19),$AI42*Прайс!$G$91,IF(AND($S42=1,$H42=2,$X42=Наименование!$L$15,$F42=19),$AI42*Прайс!$G$92))))</f>
        <v>0</v>
      </c>
      <c r="AB42" s="195">
        <f>IF($G42="Гладкий",IF(OR($C42=0,$C42=""),0,IF($Y42="Матове",$AI42*(Прайс!$D$10-500),IF($Y42="Глянець",$AI42*(Прайс!$D$11-500),IF($Y42="Софт(TS)",$AI42*(Прайс!#REF!-500),0)))),0)+IF($G42="Гладкий",0,IF(AND($Y42="Матове",$H42=1),$AI42*Прайс!$D$73*0.5,IF(AND($Y42="Глянець",$H42=1),$AI42*Прайс!$D$75*0.5,IF(AND($Y42="Софт(TS)",$H42=1),$AI42*Прайс!$D$74*0.5,IF(AND($Y42="Матове покриття з патиною",$H42=1),$AI42*Прайс!$D$77*0.5,IF(AND($Y42="Глянцеве покриття з патиною",$H42=1),$AI42*Прайс!$D$78*0.5,IF(AND($Y42="Матовий DECAPE",$H42=1),$AI42*Прайс!$D$79*0.5,IF(AND($Y42="Глянцевий DECAPE",$H42=1),$AI42*Прайс!$D$80*0.5,0))))))))+IF($G42="Гладкий",0,IF(AND($Y42="Матове",$H42=2),$AI42*Прайс!$E$73*0.5,IF(AND($Y42="Глянець",$H42=2),$AI42*Прайс!$E$75*0.5,IF(AND($Y42="Софт(TS)",$H42=2),$AI42*Прайс!$E$74*0.5,IF(AND($Y42="Матове покриття з патиною",$H42=2),$AI42*Прайс!$E$77*0.5,IF(AND($Y42="Глянцеве покриття з патиною",$H42=2),$AI42*Прайс!$E$78*0.5,IF(AND($Y42="Матовий DECAPE",$H42=2),$AI42*Прайс!$E$79*0.5,IF(AND($Y42="Глянцевий DECAPE",$H42=2),$AI42*Прайс!$E$80*0.5,0)))))))+IF(AND($S42=1,OR($H42=1,$H42=0),$Y42=Прайс!$C$89),$AI42*[1]Прайс!$D$74*0.5,IF(AND($S42=1,OR($H42=1,$H42=0),$Y42=Прайс!$C$90),$AI42*Прайс!$D$90*0.5,IF(AND($S42=1,OR($H42=1,$H42=0),$Y42=Прайс!$C$91),$AI42*Прайс!$D$91*0.5,IF(AND($S42=1,OR($H42=1,$H42=0),$Y42=Прайс!$C$92),$AI42*Прайс!$D$92*0.5,0))))+IF(AND($S42=1,$H42=2,$Y42=Прайс!$C$89),$AI42*Прайс!$E$89*0.5,IF(AND($S42=1,$H42=2,$Y42=Прайс!$C$90),$AI42*Прайс!$E$90*0.5,IF(AND($S42=1,$H42=2,$Y42=Прайс!$C$91),$AI42*Прайс!$E$91*0.5,IF(AND($S42=1,$H42=2,$Y42=Прайс!$C$92),$AI42*Прайс!$E$92*0.5,0)))))</f>
        <v>0</v>
      </c>
      <c r="AC42" s="197" t="str">
        <f>IF(Бланк!AD59="","",Бланк!AD59*E42)</f>
        <v/>
      </c>
      <c r="AD42" s="195">
        <f>IF(OR($AC42=0,$AC42=""),0,$AC42*Прайс!$D$111)</f>
        <v>0</v>
      </c>
      <c r="AE42" s="197" t="str">
        <f>IF(Бланк!AE59="","",Бланк!AE59)</f>
        <v/>
      </c>
      <c r="AF42" s="197" t="str">
        <f>IF(Бланк!AF59="","",Бланк!AF59)</f>
        <v/>
      </c>
      <c r="AG42" s="197" t="str">
        <f>IF(Бланк!AG59="","",Бланк!AG59)</f>
        <v/>
      </c>
      <c r="AH42" s="197" t="str">
        <f>IF(Бланк!AH59="","",Бланк!AH59)</f>
        <v/>
      </c>
      <c r="AI42" s="139">
        <f>IF(Бланк!$AI59="","",Бланк!$AI59)</f>
        <v>0</v>
      </c>
      <c r="AJ42" s="198"/>
      <c r="AK42" s="198"/>
      <c r="AL42" s="198"/>
      <c r="AM42" s="199"/>
      <c r="AN42" s="199"/>
      <c r="AO42" s="199"/>
      <c r="AP42" s="199"/>
      <c r="AQ42" s="200"/>
      <c r="AR42" s="190"/>
    </row>
    <row r="43" spans="2:44" s="202" customFormat="1" ht="21" customHeight="1" x14ac:dyDescent="0.3">
      <c r="B43" s="201">
        <v>40</v>
      </c>
      <c r="C43" s="192" t="str">
        <f>IF(Бланк!$C60="","",Бланк!$C60/1000)</f>
        <v/>
      </c>
      <c r="D43" s="192" t="str">
        <f>IF(Бланк!$D60="","",Бланк!$D60/1000)</f>
        <v/>
      </c>
      <c r="E43" s="192" t="str">
        <f>IF(Бланк!$E60="","",Бланк!$E60)</f>
        <v/>
      </c>
      <c r="F43" s="192" t="str">
        <f>IF(Бланк!$F60="","",Бланк!$F60)</f>
        <v/>
      </c>
      <c r="G43" s="192" t="str">
        <f>IF(Бланк!$G60="","",Бланк!$G60)</f>
        <v/>
      </c>
      <c r="H43" s="193" t="str">
        <f>IF($G43="","",VLOOKUP($G43,Наименование!$M$42:$N$95,2,FALSE))</f>
        <v/>
      </c>
      <c r="I43" s="192" t="str">
        <f>IF(Бланк!$H60="","",Бланк!$H60)</f>
        <v/>
      </c>
      <c r="J43" s="192" t="str">
        <f>IF(Бланк!$I60="","",Бланк!$I60)</f>
        <v/>
      </c>
      <c r="K43" s="194" t="str">
        <f>IF(OR($J43="",$J43=0),"",IF($J43="Пряма з чвертю",(Прайс!$D$106+Прайс!$D$109)*Просчет!$E43,IF($J43="Пряма без чверті",Прайс!$D$106*Просчет!$E43,IF(AND($J43="Шпрос з чвертю",OR($C43&lt;1,$C43=1)),(Прайс!$D$37+Прайс!$D$40)*Просчет!$E43,IF(AND($J43="Шпрос з чвертю",$C43&gt;1),(Прайс!$F$37+Прайс!$D$40)*Просчет!$E43,IF(AND($J43="Шпрос без чверті",OR($C43&lt;1,$C43=1)),Прайс!$D$37*Просчет!$E43,IF(AND($J43="Шпрос без чверті",$C43&gt;1),Прайс!$F$37*Просчет!$E43,"")))))))</f>
        <v/>
      </c>
      <c r="L43" s="192" t="str">
        <f>IF(Бланк!$J60="","",Бланк!$J60/1000)</f>
        <v/>
      </c>
      <c r="M43" s="192" t="str">
        <f>IF(Бланк!$K60="","",Бланк!$K60)</f>
        <v/>
      </c>
      <c r="N43" s="195">
        <f t="shared" si="0"/>
        <v>0</v>
      </c>
      <c r="O43" s="194">
        <f>IF($G43="гладкий",IF($M43="","",IF(OR($M43="J № 1",$M43="J № 2",$M43="J № 2L",$M43="J № 2R",$M43="AJ № 2",$M43="AJ № 2L",$M43="AJ № 2R",$M43="U",$M43="V"),$N43*Прайс!$D$43,IF(OR($M43="AJ № 3R",$M43="AJ № 4R",$M43="AJ № 5R",$M43="AJ № 3L",$M43="AJ № 4L",$M43="AJ № 5L",$M43="AJ № 3",$M43="AJ № 4",$M43="AJ № 5",$M43="J № 3",$M43="J № 4",$M43="J № 5",$M43="J № 6",$M43="J № 7",$M43="L",$M43="AL"),Прайс!$D$43*$E43,IF(OR($M43="J № 3L",$M43="J № 3R",$M43="J № 4L",$M43="J № 4R",$M43="J № 5L",$M43="J № 5R"),$N43/2*Прайс!$D$47*$E43,IF($M43="45 град.",$N43*Прайс!$D$42,0))))),0)</f>
        <v>0</v>
      </c>
      <c r="P43" s="192" t="str">
        <f>IF(Бланк!$L60="","",Бланк!$L60)</f>
        <v/>
      </c>
      <c r="Q43" s="192" t="str">
        <f>IF(Бланк!$M60="","",Бланк!$M60)</f>
        <v/>
      </c>
      <c r="R43" s="194">
        <f>IF($P43="",0,IF($Q43=$U43,0,IF($Q43="",0,IF(OR($G43=35,$G43=36,$G43=37,$G43=38),Прайс!$D$118*Бланк!E60,IF(AND($G43="гладкий",OR($M43="J № 1",$M43="J № 2",$M43="J № 2L",$M43="J № 2R")),$N43*Прайс!$D$59,0)))))</f>
        <v>0</v>
      </c>
      <c r="S43" s="192" t="str">
        <f>IF(OR(Бланк!$O60=0,Бланк!$O60=""),"",1)</f>
        <v/>
      </c>
      <c r="T43" s="192" t="str">
        <f>IF(Бланк!$R60="","",Бланк!$R60)</f>
        <v/>
      </c>
      <c r="U43" s="192" t="str">
        <f>IF(Бланк!$S60="","",Бланк!$S60)</f>
        <v/>
      </c>
      <c r="V43" s="192" t="str">
        <f>IF(Бланк!$T60="","",Бланк!$T60)</f>
        <v/>
      </c>
      <c r="W43" s="196" t="str">
        <f>IF(Бланк!$W60="","",Бланк!$W60)</f>
        <v/>
      </c>
      <c r="X43" s="197" t="str">
        <f>IF(Бланк!AB60="","",Бланк!AB60)</f>
        <v/>
      </c>
      <c r="Y43" s="197" t="str">
        <f>IF(Бланк!AC60="","",Бланк!AC60)</f>
        <v/>
      </c>
      <c r="Z43" s="195">
        <f>IF($G43="Гладкий",IF(OR($C43=0,$C43=""),0,IF(AND(OR($V43="Перли",$V43="Металік",$V43="Перл.зол.",$V43="Перл.ср.",$V43="Перл.зол.",$V43="Зор.н.ср.",$V43="Зор.н.зол.",$V43="Зор.н.різн.",$V43="Гума"),OR($F43=4,$F43=6,$F43=8,$F43=10,$F43=16)),$AI43*Прайс!$D$12,IF(AND(OR($V43="",$V43=0),$X43="Матове",OR($F43=4,$F43=6,$F43=8,$F43=10,$F43=16)),$AI43*Прайс!$D$10,IF(AND(OR($V43="",$V43=0),$X43="Глянець",OR($F43=4,$F43=6,$F43=8,$F43=10,$F43=16)),$AI43*Прайс!$D$11,IF(AND(OR($V43="",$V43=0),$X43="Софт(TS)",OR($F43=4,$F43=6,$F43=8,$F43=10,$F43=16)),$AI43*Прайс!#REF!,0))))),0)+IF($G43="Гладкий",0,IF(AND(OR($V43="Перли",$V43="Металік",$V43="Перл.зол.",$V43="Перл.ср.",$V43="Перл.зол.",$V43="Зор.н.ср.",$V43="Зор.н.зол.",$V43="Зор.н.різн.",$V43="Гума"),OR($F43=4,$F43=6,$F43=8,$F43=10,$F43=16),$H43=1),Просчет!$AI43*Прайс!$D$76,IF(AND(OR($V43="",$V43=0),$X43="Матове",OR($F43=4,$F43=6,$F43=8,$F43=10,$F43=16),$H43=1),Просчет!$AI43*Прайс!$D$73,IF(AND(OR($V43="",$V43=0),$X43="Глянець",OR($F43=4,$F43=6,$F43=8,$F43=10,$F43=16),$H43=1),Просчет!$AI43*Прайс!$D$75,IF(AND(OR($V43="",$V43=0),$G43="Софт(TS)",OR($F43=4,$F43=6,$F43=8,$F43=10,$F43=16),$H43=1),$AI43*Прайс!$D$74,IF(AND(OR($V43="",$V43=0),$X43="Матове покриття з патиною",OR($F43=4,$F43=6,$F43=8,$F43=10,$F43=16),$H43=1),$AI43*Прайс!$D$77,IF(AND(OR($V43="",$V43=0),$X43="Глянцеве покриття з патиною",OR($F43=4,$F43=6,$F43=8,$F43=10,$F43=16),$H43=1),$AI43*Прайс!$D$78,IF(AND(OR($V43="",$V43=0),$X43="Матовий DECAPE",OR($F43=4,$F43=6,$F43=8,$F43=10,$F43=16),$H43=1),$AI43*Прайс!$D$79,IF(AND(OR($V43="",$V43=0),$X43="Глянцевий DECAPE",OR($F43=4,$F43=6,$F43=8,$F43=10,$F43=16),$H43=1),$AI43*Прайс!$D$80,0)))))))))+IF($G43="Гладкий",0,IF(AND(OR($V43="Перли",$V43="Металік",$V43="Перл.зол.",$V43="Перл.ср.",$V43="Перл.зол.",$V43="Зор.н.ср.",$V43="Зор.н.зол.",$V43="Зор.н.різн.",$V43="Гума"),OR($F43=4,$F43=6,$F43=8,$F43=10,$F43=16),$H43=2),$AI43*Прайс!$E$76,IF(AND(OR($V43="",$V43=0),$X43="Матове",OR($F43=4,$F43=6,$F43=8,$F43=10,$F43=16),$H43=2),Просчет!$AI43*Прайс!$E$73,IF(AND(OR($V43="",$V43=0),$X43="Глянець",OR($F43=4,$F43=6,$F43=8,$F43=10,$F43=16),$H43=2),$AI43*Прайс!$E$75,IF(AND(OR($V43="",$V43=0),$X43="Софт(TS)",OR($F43=4,$F43=6,$F43=8,$F43=10,$F43=16),$H43=2),$AI43*Прайс!$E$74,IF(AND(OR($V43="",$V43=0),$X43="Матове покриття з патиною",OR($F43=4,$F43=6,$F43=8,$F43=10,$F43=16),$H43=2),$AI43*Прайс!$E$77,IF(AND(OR($V43="",$V43=0),$X43="Глянцеве покриття з патиною",OR($F43=4,$F43=6,$F43=8,$F43=10,$F43=16),$H43=2),$AI43*Прайс!$E$78,IF(AND(OR($V43="",$V43=0),$X43="Матовий DECAPE",OR($F43=4,$F43=6,$F43=8,$F43=10,$F43=16),$H43=2),$AI43*Прайс!$E$79,IF(AND(OR($V43="",$V43=0),$X43="Глянцевий DECAPE",OR($F43=4,$F43=6,$F43=8,$F43=10,$F43=16),$H43=2),$AI43*Прайс!$E$80,0)))))))))+IF(AND($S43=1,OR($H43=1,$H43=0),$X43=Наименование!$L$12,OR($F43=4,$F43=6,$F43=8,$F43=10,$F43=16)),$AI43*Прайс!$D$89,IF(AND($S43=1,OR($H43=1,$H43=0),$X43=Наименование!$L$13,OR($F43=4,$F43=6,$F43=8,$F43=10,$F43=16)),$AI43*Прайс!$D$90,IF(AND($S43=1,OR($H43=1,$H43=0),$X43=Наименование!$L63,OR($F43=4,$F43=6,$F43=8,$F43=10,$F43=16)),$AI43*Прайс!$D$91,IF(AND($S43=1,OR($H43=1,$H43=0),$X43=Наименование!$L$15,OR($F43=4,$F43=6,$F43=8,$F43=10,$F43=16)),$AI43*Прайс!$D$92,0))))+IF(AND($S43=1,$H43=2,$X43=Наименование!$L$12,OR($F43=4,$F43=6,$F43=8,$F43=10,$F43=16)),$AI43*Прайс!$E$89,IF(AND($S43=1,$H43=2,$X43=Наименование!$L$13,OR($F43=4,$F43=6,$F43=8,$F43=10,$F43=16)),$AI43*Прайс!$E$90,IF(AND($S43=1,$H43=2,$X43=Наименование!$L$14,OR($F43=4,$F43=6,$F43=8,$F43=10,$F43=16)),$AI43*Прайс!$E$91,IF(AND($S43=1,$H43=2,$X43=Наименование!$L$15,OR($F43=4,$F43=6,$F43=8,$F43=10,$F43=16)),$AI43*Прайс!$E$92))))</f>
        <v>0</v>
      </c>
      <c r="AA43" s="195">
        <f>IF($G43="Гладкий",IF(OR($C43=0,$C43=""),0,IF(AND(OR($V43="Перли",$V43="Металік",$V43="Перл.зол.",$V43="Перл.ср.",$V43="Перл.зол.",$V43="Зор.н.ср.",$V43="Зор.н.зол.",$V43="Зор.н.різн.",$V43="Гума"),$F43=19),$AI43*Прайс!$E$12,IF(AND(OR($V43="",$V43=0),$X43="Матове",$F43=19),$AI43*Прайс!$E$10,IF(AND(OR($V43="",$V43=0),$X43="Глянець",$F43=19),$AI43*Прайс!$E$11,IF(AND(OR($V43="",$V43=0),$X43="Софт(TS)",$F43=19),$AI43*Прайс!#REF!,0))))),0)+IF($G43="Гладкий",0,IF(AND(OR($V43="Перли",$V43="Металік",$V43="Перл.зол.",$V43="Перл.ср.",$V43="Перл.зол.",$V43="Зор.н.ср.",$V43="Зор.н.зол.",$V43="Зор.н.різн.",$V43="Гума"),$F43=19,$H43=1),Просчет!$AI43*Прайс!$F$76,IF(AND(OR($V43="",$V43=0),$X43="Матове",$F43=19,$H43=1),Просчет!$AI43*Прайс!$F$73,IF(AND(OR($V43="",$V43=0),$X43="Глянець",$F43=19,$H43=1),Просчет!$AI43*Прайс!$F$75,IF(AND(OR($V43="",$V43=0),$G43="Софт(TS)",$F43=19,$H43=1),$AI43*Прайс!$F$74,IF(AND(OR($V43="",$V43=0),$X43="Матове покриття з патиною",$F43=19,$H43=1),$AI43*Прайс!$F$77,IF(AND(OR($V43="",$V43=0),$X43="Глянцеве покриття з патиною",$F43=19,$H43=1),$AI43*Прайс!$F$78,IF(AND(OR($V43="",$V43=0),$X43="Матовий DECAPE",$F43=19,$H43=1),$AI43*Прайс!$F$79,IF(AND(OR($V43="",$V43=0),$X43="Глянцевий DECAPE",$F43=19,$H43=1),$AI43*Прайс!$F$80,0)))))))))+IF($G43="Гладкий",0,IF(AND(OR($V43="Перли",$V43="Металік",$V43="Перл.зол.",$V43="Перл.ср.",$V43="Перл.зол.",$V43="Зор.н.ср.",$V43="Зор.н.зол.",$V43="Зор.н.різн.",$V43="Гума"),$F43=19,$H43=2),$AI43*Прайс!$G$76,IF(AND(OR($V43="",$V43=0),$X43="Матове",$F43=19,$H43=2),Просчет!$AI43*Прайс!$G$73,IF(AND(OR($V43="",$V43=0),$X43="Глянець",$F43=19,$H43=2),$AI43*Прайс!$G$75,IF(AND(OR($V43="",$V43=0),$X43="Софт(TS)",$F43=19,$H43=2),$AI43*Прайс!$G$74,IF(AND(OR($V43="",$V43=0),$X43="Матове покриття з патиною",$F43=19,$H43=2),$AI43*Прайс!$G$77,IF(AND(OR($V43="",$V43=0),$X43="Глянцеве покриття з патиною",$F43=19,$H43=2),$AI43*Прайс!$G$78,IF(AND(OR($V43="",$V43=0),$X43="Матовий DECAPE",$F43=19,$H43=2),$AI43*Прайс!$G$79,IF(AND(OR($V43="",$V43=0),$X43="Глянцевий DECAPE",$F43=19,$H43=2),$AI43*Прайс!$G$78,0)))))))))+IF(AND($S43=1,OR($H43=1,$H43=0),$X43=Наименование!$L$12,$F43=19),$AI43*Прайс!$F$89,IF(AND($S43=1,OR($H43=1,$H43=0),$X43=Наименование!$L$13,$F43=19),$AI43*Прайс!$F$90,IF(AND($S43=1,OR($H43=1,$H43=0),$X43=Наименование!$L63,$F43=19),$AI43*Прайс!$F$91,IF(AND($S43=1,OR($H43=1,$H43=0),$X43=Наименование!$L$15,$F43=19),$AI43*Прайс!$F$92,0))))+IF(AND($S43=1,$H43=2,$X43=Наименование!$L$12,$F43=19),$AI43*Прайс!$G$89,IF(AND($S43=1,$H43=2,$X43=Наименование!$L$13,$F43=19),$AI43*Прайс!$G$90,IF(AND($S43=1,$H43=2,$X43=Наименование!$L$14,$F43=19),$AI43*Прайс!$G$91,IF(AND($S43=1,$H43=2,$X43=Наименование!$L$15,$F43=19),$AI43*Прайс!$G$92))))</f>
        <v>0</v>
      </c>
      <c r="AB43" s="195">
        <f>IF($G43="Гладкий",IF(OR($C43=0,$C43=""),0,IF($Y43="Матове",$AI43*(Прайс!$D$10-500),IF($Y43="Глянець",$AI43*(Прайс!$D$11-500),IF($Y43="Софт(TS)",$AI43*(Прайс!#REF!-500),0)))),0)+IF($G43="Гладкий",0,IF(AND($Y43="Матове",$H43=1),$AI43*Прайс!$D$73*0.5,IF(AND($Y43="Глянець",$H43=1),$AI43*Прайс!$D$75*0.5,IF(AND($Y43="Софт(TS)",$H43=1),$AI43*Прайс!$D$74*0.5,IF(AND($Y43="Матове покриття з патиною",$H43=1),$AI43*Прайс!$D$77*0.5,IF(AND($Y43="Глянцеве покриття з патиною",$H43=1),$AI43*Прайс!$D$78*0.5,IF(AND($Y43="Матовий DECAPE",$H43=1),$AI43*Прайс!$D$79*0.5,IF(AND($Y43="Глянцевий DECAPE",$H43=1),$AI43*Прайс!$D$80*0.5,0))))))))+IF($G43="Гладкий",0,IF(AND($Y43="Матове",$H43=2),$AI43*Прайс!$E$73*0.5,IF(AND($Y43="Глянець",$H43=2),$AI43*Прайс!$E$75*0.5,IF(AND($Y43="Софт(TS)",$H43=2),$AI43*Прайс!$E$74*0.5,IF(AND($Y43="Матове покриття з патиною",$H43=2),$AI43*Прайс!$E$77*0.5,IF(AND($Y43="Глянцеве покриття з патиною",$H43=2),$AI43*Прайс!$E$78*0.5,IF(AND($Y43="Матовий DECAPE",$H43=2),$AI43*Прайс!$E$79*0.5,IF(AND($Y43="Глянцевий DECAPE",$H43=2),$AI43*Прайс!$E$80*0.5,0)))))))+IF(AND($S43=1,OR($H43=1,$H43=0),$Y43=Прайс!$C$89),$AI43*[1]Прайс!$D$74*0.5,IF(AND($S43=1,OR($H43=1,$H43=0),$Y43=Прайс!$C$90),$AI43*Прайс!$D$90*0.5,IF(AND($S43=1,OR($H43=1,$H43=0),$Y43=Прайс!$C$91),$AI43*Прайс!$D$91*0.5,IF(AND($S43=1,OR($H43=1,$H43=0),$Y43=Прайс!$C$92),$AI43*Прайс!$D$92*0.5,0))))+IF(AND($S43=1,$H43=2,$Y43=Прайс!$C$89),$AI43*Прайс!$E$89*0.5,IF(AND($S43=1,$H43=2,$Y43=Прайс!$C$90),$AI43*Прайс!$E$90*0.5,IF(AND($S43=1,$H43=2,$Y43=Прайс!$C$91),$AI43*Прайс!$E$91*0.5,IF(AND($S43=1,$H43=2,$Y43=Прайс!$C$92),$AI43*Прайс!$E$92*0.5,0)))))</f>
        <v>0</v>
      </c>
      <c r="AC43" s="197" t="str">
        <f>IF(Бланк!AD60="","",Бланк!AD60*E43)</f>
        <v/>
      </c>
      <c r="AD43" s="195">
        <f>IF(OR($AC43=0,$AC43=""),0,$AC43*Прайс!$D$111)</f>
        <v>0</v>
      </c>
      <c r="AE43" s="197" t="str">
        <f>IF(Бланк!AE60="","",Бланк!AE60)</f>
        <v/>
      </c>
      <c r="AF43" s="197" t="str">
        <f>IF(Бланк!AF60="","",Бланк!AF60)</f>
        <v/>
      </c>
      <c r="AG43" s="197" t="str">
        <f>IF(Бланк!AG60="","",Бланк!AG60)</f>
        <v/>
      </c>
      <c r="AH43" s="197" t="str">
        <f>IF(Бланк!AH60="","",Бланк!AH60)</f>
        <v/>
      </c>
      <c r="AI43" s="139">
        <f>IF(Бланк!$AI60="","",Бланк!$AI60)</f>
        <v>0</v>
      </c>
      <c r="AJ43" s="198"/>
      <c r="AK43" s="198"/>
      <c r="AL43" s="198"/>
      <c r="AM43" s="199"/>
      <c r="AN43" s="199"/>
      <c r="AO43" s="199"/>
      <c r="AP43" s="199"/>
      <c r="AQ43" s="200"/>
      <c r="AR43" s="190"/>
    </row>
    <row r="44" spans="2:44" s="202" customFormat="1" ht="21" customHeight="1" x14ac:dyDescent="0.3">
      <c r="B44" s="201">
        <v>41</v>
      </c>
      <c r="C44" s="192" t="str">
        <f>IF(Бланк!$C61="","",Бланк!$C61/1000)</f>
        <v/>
      </c>
      <c r="D44" s="192" t="str">
        <f>IF(Бланк!$D61="","",Бланк!$D61/1000)</f>
        <v/>
      </c>
      <c r="E44" s="192" t="str">
        <f>IF(Бланк!$E61="","",Бланк!$E61)</f>
        <v/>
      </c>
      <c r="F44" s="192" t="str">
        <f>IF(Бланк!$F61="","",Бланк!$F61)</f>
        <v/>
      </c>
      <c r="G44" s="192" t="str">
        <f>IF(Бланк!$G61="","",Бланк!$G61)</f>
        <v/>
      </c>
      <c r="H44" s="193" t="str">
        <f>IF($G44="","",VLOOKUP($G44,Наименование!$M$42:$N$95,2,FALSE))</f>
        <v/>
      </c>
      <c r="I44" s="192" t="str">
        <f>IF(Бланк!$H61="","",Бланк!$H61)</f>
        <v/>
      </c>
      <c r="J44" s="192" t="str">
        <f>IF(Бланк!$I61="","",Бланк!$I61)</f>
        <v/>
      </c>
      <c r="K44" s="194" t="str">
        <f>IF(OR($J44="",$J44=0),"",IF($J44="Пряма з чвертю",(Прайс!$D$106+Прайс!$D$109)*Просчет!$E44,IF($J44="Пряма без чверті",Прайс!$D$106*Просчет!$E44,IF(AND($J44="Шпрос з чвертю",OR($C44&lt;1,$C44=1)),(Прайс!$D$37+Прайс!$D$40)*Просчет!$E44,IF(AND($J44="Шпрос з чвертю",$C44&gt;1),(Прайс!$F$37+Прайс!$D$40)*Просчет!$E44,IF(AND($J44="Шпрос без чверті",OR($C44&lt;1,$C44=1)),Прайс!$D$37*Просчет!$E44,IF(AND($J44="Шпрос без чверті",$C44&gt;1),Прайс!$F$37*Просчет!$E44,"")))))))</f>
        <v/>
      </c>
      <c r="L44" s="192" t="str">
        <f>IF(Бланк!$J61="","",Бланк!$J61/1000)</f>
        <v/>
      </c>
      <c r="M44" s="192" t="str">
        <f>IF(Бланк!$K61="","",Бланк!$K61)</f>
        <v/>
      </c>
      <c r="N44" s="195">
        <f t="shared" si="0"/>
        <v>0</v>
      </c>
      <c r="O44" s="194">
        <f>IF($G44="гладкий",IF($M44="","",IF(OR($M44="J № 1",$M44="J № 2",$M44="J № 2L",$M44="J № 2R",$M44="AJ № 2",$M44="AJ № 2L",$M44="AJ № 2R",$M44="U",$M44="V"),$N44*Прайс!$D$43,IF(OR($M44="AJ № 3R",$M44="AJ № 4R",$M44="AJ № 5R",$M44="AJ № 3L",$M44="AJ № 4L",$M44="AJ № 5L",$M44="AJ № 3",$M44="AJ № 4",$M44="AJ № 5",$M44="J № 3",$M44="J № 4",$M44="J № 5",$M44="J № 6",$M44="J № 7",$M44="L",$M44="AL"),Прайс!$D$43*$E44,IF(OR($M44="J № 3L",$M44="J № 3R",$M44="J № 4L",$M44="J № 4R",$M44="J № 5L",$M44="J № 5R"),$N44/2*Прайс!$D$47*$E44,IF($M44="45 град.",$N44*Прайс!$D$42,0))))),0)</f>
        <v>0</v>
      </c>
      <c r="P44" s="192" t="str">
        <f>IF(Бланк!$L61="","",Бланк!$L61)</f>
        <v/>
      </c>
      <c r="Q44" s="192" t="str">
        <f>IF(Бланк!$M61="","",Бланк!$M61)</f>
        <v/>
      </c>
      <c r="R44" s="194">
        <f>IF($P44="",0,IF($Q44=$U44,0,IF($Q44="",0,IF(OR($G44=35,$G44=36,$G44=37,$G44=38),Прайс!$D$118*Бланк!E61,IF(AND($G44="гладкий",OR($M44="J № 1",$M44="J № 2",$M44="J № 2L",$M44="J № 2R")),$N44*Прайс!$D$59,0)))))</f>
        <v>0</v>
      </c>
      <c r="S44" s="192" t="str">
        <f>IF(OR(Бланк!$O61=0,Бланк!$O61=""),"",1)</f>
        <v/>
      </c>
      <c r="T44" s="192" t="str">
        <f>IF(Бланк!$R61="","",Бланк!$R61)</f>
        <v/>
      </c>
      <c r="U44" s="192" t="str">
        <f>IF(Бланк!$S61="","",Бланк!$S61)</f>
        <v/>
      </c>
      <c r="V44" s="192" t="str">
        <f>IF(Бланк!$T61="","",Бланк!$T61)</f>
        <v/>
      </c>
      <c r="W44" s="196" t="str">
        <f>IF(Бланк!$W61="","",Бланк!$W61)</f>
        <v/>
      </c>
      <c r="X44" s="197" t="str">
        <f>IF(Бланк!AB61="","",Бланк!AB61)</f>
        <v/>
      </c>
      <c r="Y44" s="197" t="str">
        <f>IF(Бланк!AC61="","",Бланк!AC61)</f>
        <v/>
      </c>
      <c r="Z44" s="195">
        <f>IF($G44="Гладкий",IF(OR($C44=0,$C44=""),0,IF(AND(OR($V44="Перли",$V44="Металік",$V44="Перл.зол.",$V44="Перл.ср.",$V44="Перл.зол.",$V44="Зор.н.ср.",$V44="Зор.н.зол.",$V44="Зор.н.різн.",$V44="Гума"),OR($F44=4,$F44=6,$F44=8,$F44=10,$F44=16)),$AI44*Прайс!$D$12,IF(AND(OR($V44="",$V44=0),$X44="Матове",OR($F44=4,$F44=6,$F44=8,$F44=10,$F44=16)),$AI44*Прайс!$D$10,IF(AND(OR($V44="",$V44=0),$X44="Глянець",OR($F44=4,$F44=6,$F44=8,$F44=10,$F44=16)),$AI44*Прайс!$D$11,IF(AND(OR($V44="",$V44=0),$X44="Софт(TS)",OR($F44=4,$F44=6,$F44=8,$F44=10,$F44=16)),$AI44*Прайс!#REF!,0))))),0)+IF($G44="Гладкий",0,IF(AND(OR($V44="Перли",$V44="Металік",$V44="Перл.зол.",$V44="Перл.ср.",$V44="Перл.зол.",$V44="Зор.н.ср.",$V44="Зор.н.зол.",$V44="Зор.н.різн.",$V44="Гума"),OR($F44=4,$F44=6,$F44=8,$F44=10,$F44=16),$H44=1),Просчет!$AI44*Прайс!$D$76,IF(AND(OR($V44="",$V44=0),$X44="Матове",OR($F44=4,$F44=6,$F44=8,$F44=10,$F44=16),$H44=1),Просчет!$AI44*Прайс!$D$73,IF(AND(OR($V44="",$V44=0),$X44="Глянець",OR($F44=4,$F44=6,$F44=8,$F44=10,$F44=16),$H44=1),Просчет!$AI44*Прайс!$D$75,IF(AND(OR($V44="",$V44=0),$G44="Софт(TS)",OR($F44=4,$F44=6,$F44=8,$F44=10,$F44=16),$H44=1),$AI44*Прайс!$D$74,IF(AND(OR($V44="",$V44=0),$X44="Матове покриття з патиною",OR($F44=4,$F44=6,$F44=8,$F44=10,$F44=16),$H44=1),$AI44*Прайс!$D$77,IF(AND(OR($V44="",$V44=0),$X44="Глянцеве покриття з патиною",OR($F44=4,$F44=6,$F44=8,$F44=10,$F44=16),$H44=1),$AI44*Прайс!$D$78,IF(AND(OR($V44="",$V44=0),$X44="Матовий DECAPE",OR($F44=4,$F44=6,$F44=8,$F44=10,$F44=16),$H44=1),$AI44*Прайс!$D$79,IF(AND(OR($V44="",$V44=0),$X44="Глянцевий DECAPE",OR($F44=4,$F44=6,$F44=8,$F44=10,$F44=16),$H44=1),$AI44*Прайс!$D$80,0)))))))))+IF($G44="Гладкий",0,IF(AND(OR($V44="Перли",$V44="Металік",$V44="Перл.зол.",$V44="Перл.ср.",$V44="Перл.зол.",$V44="Зор.н.ср.",$V44="Зор.н.зол.",$V44="Зор.н.різн.",$V44="Гума"),OR($F44=4,$F44=6,$F44=8,$F44=10,$F44=16),$H44=2),$AI44*Прайс!$E$76,IF(AND(OR($V44="",$V44=0),$X44="Матове",OR($F44=4,$F44=6,$F44=8,$F44=10,$F44=16),$H44=2),Просчет!$AI44*Прайс!$E$73,IF(AND(OR($V44="",$V44=0),$X44="Глянець",OR($F44=4,$F44=6,$F44=8,$F44=10,$F44=16),$H44=2),$AI44*Прайс!$E$75,IF(AND(OR($V44="",$V44=0),$X44="Софт(TS)",OR($F44=4,$F44=6,$F44=8,$F44=10,$F44=16),$H44=2),$AI44*Прайс!$E$74,IF(AND(OR($V44="",$V44=0),$X44="Матове покриття з патиною",OR($F44=4,$F44=6,$F44=8,$F44=10,$F44=16),$H44=2),$AI44*Прайс!$E$77,IF(AND(OR($V44="",$V44=0),$X44="Глянцеве покриття з патиною",OR($F44=4,$F44=6,$F44=8,$F44=10,$F44=16),$H44=2),$AI44*Прайс!$E$78,IF(AND(OR($V44="",$V44=0),$X44="Матовий DECAPE",OR($F44=4,$F44=6,$F44=8,$F44=10,$F44=16),$H44=2),$AI44*Прайс!$E$79,IF(AND(OR($V44="",$V44=0),$X44="Глянцевий DECAPE",OR($F44=4,$F44=6,$F44=8,$F44=10,$F44=16),$H44=2),$AI44*Прайс!$E$80,0)))))))))+IF(AND($S44=1,OR($H44=1,$H44=0),$X44=Наименование!$L$12,OR($F44=4,$F44=6,$F44=8,$F44=10,$F44=16)),$AI44*Прайс!$D$89,IF(AND($S44=1,OR($H44=1,$H44=0),$X44=Наименование!$L$13,OR($F44=4,$F44=6,$F44=8,$F44=10,$F44=16)),$AI44*Прайс!$D$90,IF(AND($S44=1,OR($H44=1,$H44=0),$X44=Наименование!$L64,OR($F44=4,$F44=6,$F44=8,$F44=10,$F44=16)),$AI44*Прайс!$D$91,IF(AND($S44=1,OR($H44=1,$H44=0),$X44=Наименование!$L$15,OR($F44=4,$F44=6,$F44=8,$F44=10,$F44=16)),$AI44*Прайс!$D$92,0))))+IF(AND($S44=1,$H44=2,$X44=Наименование!$L$12,OR($F44=4,$F44=6,$F44=8,$F44=10,$F44=16)),$AI44*Прайс!$E$89,IF(AND($S44=1,$H44=2,$X44=Наименование!$L$13,OR($F44=4,$F44=6,$F44=8,$F44=10,$F44=16)),$AI44*Прайс!$E$90,IF(AND($S44=1,$H44=2,$X44=Наименование!$L$14,OR($F44=4,$F44=6,$F44=8,$F44=10,$F44=16)),$AI44*Прайс!$E$91,IF(AND($S44=1,$H44=2,$X44=Наименование!$L$15,OR($F44=4,$F44=6,$F44=8,$F44=10,$F44=16)),$AI44*Прайс!$E$92))))</f>
        <v>0</v>
      </c>
      <c r="AA44" s="195">
        <f>IF($G44="Гладкий",IF(OR($C44=0,$C44=""),0,IF(AND(OR($V44="Перли",$V44="Металік",$V44="Перл.зол.",$V44="Перл.ср.",$V44="Перл.зол.",$V44="Зор.н.ср.",$V44="Зор.н.зол.",$V44="Зор.н.різн.",$V44="Гума"),$F44=19),$AI44*Прайс!$E$12,IF(AND(OR($V44="",$V44=0),$X44="Матове",$F44=19),$AI44*Прайс!$E$10,IF(AND(OR($V44="",$V44=0),$X44="Глянець",$F44=19),$AI44*Прайс!$E$11,IF(AND(OR($V44="",$V44=0),$X44="Софт(TS)",$F44=19),$AI44*Прайс!#REF!,0))))),0)+IF($G44="Гладкий",0,IF(AND(OR($V44="Перли",$V44="Металік",$V44="Перл.зол.",$V44="Перл.ср.",$V44="Перл.зол.",$V44="Зор.н.ср.",$V44="Зор.н.зол.",$V44="Зор.н.різн.",$V44="Гума"),$F44=19,$H44=1),Просчет!$AI44*Прайс!$F$76,IF(AND(OR($V44="",$V44=0),$X44="Матове",$F44=19,$H44=1),Просчет!$AI44*Прайс!$F$73,IF(AND(OR($V44="",$V44=0),$X44="Глянець",$F44=19,$H44=1),Просчет!$AI44*Прайс!$F$75,IF(AND(OR($V44="",$V44=0),$G44="Софт(TS)",$F44=19,$H44=1),$AI44*Прайс!$F$74,IF(AND(OR($V44="",$V44=0),$X44="Матове покриття з патиною",$F44=19,$H44=1),$AI44*Прайс!$F$77,IF(AND(OR($V44="",$V44=0),$X44="Глянцеве покриття з патиною",$F44=19,$H44=1),$AI44*Прайс!$F$78,IF(AND(OR($V44="",$V44=0),$X44="Матовий DECAPE",$F44=19,$H44=1),$AI44*Прайс!$F$79,IF(AND(OR($V44="",$V44=0),$X44="Глянцевий DECAPE",$F44=19,$H44=1),$AI44*Прайс!$F$80,0)))))))))+IF($G44="Гладкий",0,IF(AND(OR($V44="Перли",$V44="Металік",$V44="Перл.зол.",$V44="Перл.ср.",$V44="Перл.зол.",$V44="Зор.н.ср.",$V44="Зор.н.зол.",$V44="Зор.н.різн.",$V44="Гума"),$F44=19,$H44=2),$AI44*Прайс!$G$76,IF(AND(OR($V44="",$V44=0),$X44="Матове",$F44=19,$H44=2),Просчет!$AI44*Прайс!$G$73,IF(AND(OR($V44="",$V44=0),$X44="Глянець",$F44=19,$H44=2),$AI44*Прайс!$G$75,IF(AND(OR($V44="",$V44=0),$X44="Софт(TS)",$F44=19,$H44=2),$AI44*Прайс!$G$74,IF(AND(OR($V44="",$V44=0),$X44="Матове покриття з патиною",$F44=19,$H44=2),$AI44*Прайс!$G$77,IF(AND(OR($V44="",$V44=0),$X44="Глянцеве покриття з патиною",$F44=19,$H44=2),$AI44*Прайс!$G$78,IF(AND(OR($V44="",$V44=0),$X44="Матовий DECAPE",$F44=19,$H44=2),$AI44*Прайс!$G$79,IF(AND(OR($V44="",$V44=0),$X44="Глянцевий DECAPE",$F44=19,$H44=2),$AI44*Прайс!$G$78,0)))))))))+IF(AND($S44=1,OR($H44=1,$H44=0),$X44=Наименование!$L$12,$F44=19),$AI44*Прайс!$F$89,IF(AND($S44=1,OR($H44=1,$H44=0),$X44=Наименование!$L$13,$F44=19),$AI44*Прайс!$F$90,IF(AND($S44=1,OR($H44=1,$H44=0),$X44=Наименование!$L64,$F44=19),$AI44*Прайс!$F$91,IF(AND($S44=1,OR($H44=1,$H44=0),$X44=Наименование!$L$15,$F44=19),$AI44*Прайс!$F$92,0))))+IF(AND($S44=1,$H44=2,$X44=Наименование!$L$12,$F44=19),$AI44*Прайс!$G$89,IF(AND($S44=1,$H44=2,$X44=Наименование!$L$13,$F44=19),$AI44*Прайс!$G$90,IF(AND($S44=1,$H44=2,$X44=Наименование!$L$14,$F44=19),$AI44*Прайс!$G$91,IF(AND($S44=1,$H44=2,$X44=Наименование!$L$15,$F44=19),$AI44*Прайс!$G$92))))</f>
        <v>0</v>
      </c>
      <c r="AB44" s="195">
        <f>IF($G44="Гладкий",IF(OR($C44=0,$C44=""),0,IF($Y44="Матове",$AI44*(Прайс!$D$10-500),IF($Y44="Глянець",$AI44*(Прайс!$D$11-500),IF($Y44="Софт(TS)",$AI44*(Прайс!#REF!-500),0)))),0)+IF($G44="Гладкий",0,IF(AND($Y44="Матове",$H44=1),$AI44*Прайс!$D$73*0.5,IF(AND($Y44="Глянець",$H44=1),$AI44*Прайс!$D$75*0.5,IF(AND($Y44="Софт(TS)",$H44=1),$AI44*Прайс!$D$74*0.5,IF(AND($Y44="Матове покриття з патиною",$H44=1),$AI44*Прайс!$D$77*0.5,IF(AND($Y44="Глянцеве покриття з патиною",$H44=1),$AI44*Прайс!$D$78*0.5,IF(AND($Y44="Матовий DECAPE",$H44=1),$AI44*Прайс!$D$79*0.5,IF(AND($Y44="Глянцевий DECAPE",$H44=1),$AI44*Прайс!$D$80*0.5,0))))))))+IF($G44="Гладкий",0,IF(AND($Y44="Матове",$H44=2),$AI44*Прайс!$E$73*0.5,IF(AND($Y44="Глянець",$H44=2),$AI44*Прайс!$E$75*0.5,IF(AND($Y44="Софт(TS)",$H44=2),$AI44*Прайс!$E$74*0.5,IF(AND($Y44="Матове покриття з патиною",$H44=2),$AI44*Прайс!$E$77*0.5,IF(AND($Y44="Глянцеве покриття з патиною",$H44=2),$AI44*Прайс!$E$78*0.5,IF(AND($Y44="Матовий DECAPE",$H44=2),$AI44*Прайс!$E$79*0.5,IF(AND($Y44="Глянцевий DECAPE",$H44=2),$AI44*Прайс!$E$80*0.5,0)))))))+IF(AND($S44=1,OR($H44=1,$H44=0),$Y44=Прайс!$C$89),$AI44*[1]Прайс!$D$74*0.5,IF(AND($S44=1,OR($H44=1,$H44=0),$Y44=Прайс!$C$90),$AI44*Прайс!$D$90*0.5,IF(AND($S44=1,OR($H44=1,$H44=0),$Y44=Прайс!$C$91),$AI44*Прайс!$D$91*0.5,IF(AND($S44=1,OR($H44=1,$H44=0),$Y44=Прайс!$C$92),$AI44*Прайс!$D$92*0.5,0))))+IF(AND($S44=1,$H44=2,$Y44=Прайс!$C$89),$AI44*Прайс!$E$89*0.5,IF(AND($S44=1,$H44=2,$Y44=Прайс!$C$90),$AI44*Прайс!$E$90*0.5,IF(AND($S44=1,$H44=2,$Y44=Прайс!$C$91),$AI44*Прайс!$E$91*0.5,IF(AND($S44=1,$H44=2,$Y44=Прайс!$C$92),$AI44*Прайс!$E$92*0.5,0)))))</f>
        <v>0</v>
      </c>
      <c r="AC44" s="197" t="str">
        <f>IF(Бланк!AD61="","",Бланк!AD61*E44)</f>
        <v/>
      </c>
      <c r="AD44" s="195">
        <f>IF(OR($AC44=0,$AC44=""),0,$AC44*Прайс!$D$111)</f>
        <v>0</v>
      </c>
      <c r="AE44" s="197" t="str">
        <f>IF(Бланк!AE61="","",Бланк!AE61)</f>
        <v/>
      </c>
      <c r="AF44" s="197" t="str">
        <f>IF(Бланк!AF61="","",Бланк!AF61)</f>
        <v/>
      </c>
      <c r="AG44" s="197" t="str">
        <f>IF(Бланк!AG61="","",Бланк!AG61)</f>
        <v/>
      </c>
      <c r="AH44" s="197" t="str">
        <f>IF(Бланк!AH61="","",Бланк!AH61)</f>
        <v/>
      </c>
      <c r="AI44" s="139">
        <f>IF(Бланк!$AI61="","",Бланк!$AI61)</f>
        <v>0</v>
      </c>
      <c r="AJ44" s="198"/>
      <c r="AK44" s="198"/>
      <c r="AL44" s="198"/>
      <c r="AM44" s="199"/>
      <c r="AN44" s="199"/>
      <c r="AO44" s="199"/>
      <c r="AP44" s="199"/>
      <c r="AQ44" s="200"/>
      <c r="AR44" s="190"/>
    </row>
    <row r="45" spans="2:44" s="202" customFormat="1" ht="21" customHeight="1" x14ac:dyDescent="0.3">
      <c r="B45" s="201">
        <v>42</v>
      </c>
      <c r="C45" s="192" t="str">
        <f>IF(Бланк!$C62="","",Бланк!$C62/1000)</f>
        <v/>
      </c>
      <c r="D45" s="192" t="str">
        <f>IF(Бланк!$D62="","",Бланк!$D62/1000)</f>
        <v/>
      </c>
      <c r="E45" s="192" t="str">
        <f>IF(Бланк!$E62="","",Бланк!$E62)</f>
        <v/>
      </c>
      <c r="F45" s="192" t="str">
        <f>IF(Бланк!$F62="","",Бланк!$F62)</f>
        <v/>
      </c>
      <c r="G45" s="192" t="str">
        <f>IF(Бланк!$G62="","",Бланк!$G62)</f>
        <v/>
      </c>
      <c r="H45" s="193" t="str">
        <f>IF($G45="","",VLOOKUP($G45,Наименование!$M$42:$N$95,2,FALSE))</f>
        <v/>
      </c>
      <c r="I45" s="192" t="str">
        <f>IF(Бланк!$H62="","",Бланк!$H62)</f>
        <v/>
      </c>
      <c r="J45" s="192" t="str">
        <f>IF(Бланк!$I62="","",Бланк!$I62)</f>
        <v/>
      </c>
      <c r="K45" s="194" t="str">
        <f>IF(OR($J45="",$J45=0),"",IF($J45="Пряма з чвертю",(Прайс!$D$106+Прайс!$D$109)*Просчет!$E45,IF($J45="Пряма без чверті",Прайс!$D$106*Просчет!$E45,IF(AND($J45="Шпрос з чвертю",OR($C45&lt;1,$C45=1)),(Прайс!$D$37+Прайс!$D$40)*Просчет!$E45,IF(AND($J45="Шпрос з чвертю",$C45&gt;1),(Прайс!$F$37+Прайс!$D$40)*Просчет!$E45,IF(AND($J45="Шпрос без чверті",OR($C45&lt;1,$C45=1)),Прайс!$D$37*Просчет!$E45,IF(AND($J45="Шпрос без чверті",$C45&gt;1),Прайс!$F$37*Просчет!$E45,"")))))))</f>
        <v/>
      </c>
      <c r="L45" s="192" t="str">
        <f>IF(Бланк!$J62="","",Бланк!$J62/1000)</f>
        <v/>
      </c>
      <c r="M45" s="192" t="str">
        <f>IF(Бланк!$K62="","",Бланк!$K62)</f>
        <v/>
      </c>
      <c r="N45" s="195">
        <f t="shared" si="0"/>
        <v>0</v>
      </c>
      <c r="O45" s="194">
        <f>IF($G45="гладкий",IF($M45="","",IF(OR($M45="J № 1",$M45="J № 2",$M45="J № 2L",$M45="J № 2R",$M45="AJ № 2",$M45="AJ № 2L",$M45="AJ № 2R",$M45="U",$M45="V"),$N45*Прайс!$D$43,IF(OR($M45="AJ № 3R",$M45="AJ № 4R",$M45="AJ № 5R",$M45="AJ № 3L",$M45="AJ № 4L",$M45="AJ № 5L",$M45="AJ № 3",$M45="AJ № 4",$M45="AJ № 5",$M45="J № 3",$M45="J № 4",$M45="J № 5",$M45="J № 6",$M45="J № 7",$M45="L",$M45="AL"),Прайс!$D$43*$E45,IF(OR($M45="J № 3L",$M45="J № 3R",$M45="J № 4L",$M45="J № 4R",$M45="J № 5L",$M45="J № 5R"),$N45/2*Прайс!$D$47*$E45,IF($M45="45 град.",$N45*Прайс!$D$42,0))))),0)</f>
        <v>0</v>
      </c>
      <c r="P45" s="192" t="str">
        <f>IF(Бланк!$L62="","",Бланк!$L62)</f>
        <v/>
      </c>
      <c r="Q45" s="192" t="str">
        <f>IF(Бланк!$M62="","",Бланк!$M62)</f>
        <v/>
      </c>
      <c r="R45" s="194">
        <f>IF($P45="",0,IF($Q45=$U45,0,IF($Q45="",0,IF(OR($G45=35,$G45=36,$G45=37,$G45=38),Прайс!$D$118*Бланк!E62,IF(AND($G45="гладкий",OR($M45="J № 1",$M45="J № 2",$M45="J № 2L",$M45="J № 2R")),$N45*Прайс!$D$59,0)))))</f>
        <v>0</v>
      </c>
      <c r="S45" s="192" t="str">
        <f>IF(OR(Бланк!$O62=0,Бланк!$O62=""),"",1)</f>
        <v/>
      </c>
      <c r="T45" s="192" t="str">
        <f>IF(Бланк!$R62="","",Бланк!$R62)</f>
        <v/>
      </c>
      <c r="U45" s="192" t="str">
        <f>IF(Бланк!$S62="","",Бланк!$S62)</f>
        <v/>
      </c>
      <c r="V45" s="192" t="str">
        <f>IF(Бланк!$T62="","",Бланк!$T62)</f>
        <v/>
      </c>
      <c r="W45" s="196" t="str">
        <f>IF(Бланк!$W62="","",Бланк!$W62)</f>
        <v/>
      </c>
      <c r="X45" s="197" t="str">
        <f>IF(Бланк!AB62="","",Бланк!AB62)</f>
        <v/>
      </c>
      <c r="Y45" s="197" t="str">
        <f>IF(Бланк!AC62="","",Бланк!AC62)</f>
        <v/>
      </c>
      <c r="Z45" s="195">
        <f>IF($G45="Гладкий",IF(OR($C45=0,$C45=""),0,IF(AND(OR($V45="Перли",$V45="Металік",$V45="Перл.зол.",$V45="Перл.ср.",$V45="Перл.зол.",$V45="Зор.н.ср.",$V45="Зор.н.зол.",$V45="Зор.н.різн.",$V45="Гума"),OR($F45=4,$F45=6,$F45=8,$F45=10,$F45=16)),$AI45*Прайс!$D$12,IF(AND(OR($V45="",$V45=0),$X45="Матове",OR($F45=4,$F45=6,$F45=8,$F45=10,$F45=16)),$AI45*Прайс!$D$10,IF(AND(OR($V45="",$V45=0),$X45="Глянець",OR($F45=4,$F45=6,$F45=8,$F45=10,$F45=16)),$AI45*Прайс!$D$11,IF(AND(OR($V45="",$V45=0),$X45="Софт(TS)",OR($F45=4,$F45=6,$F45=8,$F45=10,$F45=16)),$AI45*Прайс!#REF!,0))))),0)+IF($G45="Гладкий",0,IF(AND(OR($V45="Перли",$V45="Металік",$V45="Перл.зол.",$V45="Перл.ср.",$V45="Перл.зол.",$V45="Зор.н.ср.",$V45="Зор.н.зол.",$V45="Зор.н.різн.",$V45="Гума"),OR($F45=4,$F45=6,$F45=8,$F45=10,$F45=16),$H45=1),Просчет!$AI45*Прайс!$D$76,IF(AND(OR($V45="",$V45=0),$X45="Матове",OR($F45=4,$F45=6,$F45=8,$F45=10,$F45=16),$H45=1),Просчет!$AI45*Прайс!$D$73,IF(AND(OR($V45="",$V45=0),$X45="Глянець",OR($F45=4,$F45=6,$F45=8,$F45=10,$F45=16),$H45=1),Просчет!$AI45*Прайс!$D$75,IF(AND(OR($V45="",$V45=0),$G45="Софт(TS)",OR($F45=4,$F45=6,$F45=8,$F45=10,$F45=16),$H45=1),$AI45*Прайс!$D$74,IF(AND(OR($V45="",$V45=0),$X45="Матове покриття з патиною",OR($F45=4,$F45=6,$F45=8,$F45=10,$F45=16),$H45=1),$AI45*Прайс!$D$77,IF(AND(OR($V45="",$V45=0),$X45="Глянцеве покриття з патиною",OR($F45=4,$F45=6,$F45=8,$F45=10,$F45=16),$H45=1),$AI45*Прайс!$D$78,IF(AND(OR($V45="",$V45=0),$X45="Матовий DECAPE",OR($F45=4,$F45=6,$F45=8,$F45=10,$F45=16),$H45=1),$AI45*Прайс!$D$79,IF(AND(OR($V45="",$V45=0),$X45="Глянцевий DECAPE",OR($F45=4,$F45=6,$F45=8,$F45=10,$F45=16),$H45=1),$AI45*Прайс!$D$80,0)))))))))+IF($G45="Гладкий",0,IF(AND(OR($V45="Перли",$V45="Металік",$V45="Перл.зол.",$V45="Перл.ср.",$V45="Перл.зол.",$V45="Зор.н.ср.",$V45="Зор.н.зол.",$V45="Зор.н.різн.",$V45="Гума"),OR($F45=4,$F45=6,$F45=8,$F45=10,$F45=16),$H45=2),$AI45*Прайс!$E$76,IF(AND(OR($V45="",$V45=0),$X45="Матове",OR($F45=4,$F45=6,$F45=8,$F45=10,$F45=16),$H45=2),Просчет!$AI45*Прайс!$E$73,IF(AND(OR($V45="",$V45=0),$X45="Глянець",OR($F45=4,$F45=6,$F45=8,$F45=10,$F45=16),$H45=2),$AI45*Прайс!$E$75,IF(AND(OR($V45="",$V45=0),$X45="Софт(TS)",OR($F45=4,$F45=6,$F45=8,$F45=10,$F45=16),$H45=2),$AI45*Прайс!$E$74,IF(AND(OR($V45="",$V45=0),$X45="Матове покриття з патиною",OR($F45=4,$F45=6,$F45=8,$F45=10,$F45=16),$H45=2),$AI45*Прайс!$E$77,IF(AND(OR($V45="",$V45=0),$X45="Глянцеве покриття з патиною",OR($F45=4,$F45=6,$F45=8,$F45=10,$F45=16),$H45=2),$AI45*Прайс!$E$78,IF(AND(OR($V45="",$V45=0),$X45="Матовий DECAPE",OR($F45=4,$F45=6,$F45=8,$F45=10,$F45=16),$H45=2),$AI45*Прайс!$E$79,IF(AND(OR($V45="",$V45=0),$X45="Глянцевий DECAPE",OR($F45=4,$F45=6,$F45=8,$F45=10,$F45=16),$H45=2),$AI45*Прайс!$E$80,0)))))))))+IF(AND($S45=1,OR($H45=1,$H45=0),$X45=Наименование!$L$12,OR($F45=4,$F45=6,$F45=8,$F45=10,$F45=16)),$AI45*Прайс!$D$89,IF(AND($S45=1,OR($H45=1,$H45=0),$X45=Наименование!$L$13,OR($F45=4,$F45=6,$F45=8,$F45=10,$F45=16)),$AI45*Прайс!$D$90,IF(AND($S45=1,OR($H45=1,$H45=0),$X45=Наименование!$L65,OR($F45=4,$F45=6,$F45=8,$F45=10,$F45=16)),$AI45*Прайс!$D$91,IF(AND($S45=1,OR($H45=1,$H45=0),$X45=Наименование!$L$15,OR($F45=4,$F45=6,$F45=8,$F45=10,$F45=16)),$AI45*Прайс!$D$92,0))))+IF(AND($S45=1,$H45=2,$X45=Наименование!$L$12,OR($F45=4,$F45=6,$F45=8,$F45=10,$F45=16)),$AI45*Прайс!$E$89,IF(AND($S45=1,$H45=2,$X45=Наименование!$L$13,OR($F45=4,$F45=6,$F45=8,$F45=10,$F45=16)),$AI45*Прайс!$E$90,IF(AND($S45=1,$H45=2,$X45=Наименование!$L$14,OR($F45=4,$F45=6,$F45=8,$F45=10,$F45=16)),$AI45*Прайс!$E$91,IF(AND($S45=1,$H45=2,$X45=Наименование!$L$15,OR($F45=4,$F45=6,$F45=8,$F45=10,$F45=16)),$AI45*Прайс!$E$92))))</f>
        <v>0</v>
      </c>
      <c r="AA45" s="195">
        <f>IF($G45="Гладкий",IF(OR($C45=0,$C45=""),0,IF(AND(OR($V45="Перли",$V45="Металік",$V45="Перл.зол.",$V45="Перл.ср.",$V45="Перл.зол.",$V45="Зор.н.ср.",$V45="Зор.н.зол.",$V45="Зор.н.різн.",$V45="Гума"),$F45=19),$AI45*Прайс!$E$12,IF(AND(OR($V45="",$V45=0),$X45="Матове",$F45=19),$AI45*Прайс!$E$10,IF(AND(OR($V45="",$V45=0),$X45="Глянець",$F45=19),$AI45*Прайс!$E$11,IF(AND(OR($V45="",$V45=0),$X45="Софт(TS)",$F45=19),$AI45*Прайс!#REF!,0))))),0)+IF($G45="Гладкий",0,IF(AND(OR($V45="Перли",$V45="Металік",$V45="Перл.зол.",$V45="Перл.ср.",$V45="Перл.зол.",$V45="Зор.н.ср.",$V45="Зор.н.зол.",$V45="Зор.н.різн.",$V45="Гума"),$F45=19,$H45=1),Просчет!$AI45*Прайс!$F$76,IF(AND(OR($V45="",$V45=0),$X45="Матове",$F45=19,$H45=1),Просчет!$AI45*Прайс!$F$73,IF(AND(OR($V45="",$V45=0),$X45="Глянець",$F45=19,$H45=1),Просчет!$AI45*Прайс!$F$75,IF(AND(OR($V45="",$V45=0),$G45="Софт(TS)",$F45=19,$H45=1),$AI45*Прайс!$F$74,IF(AND(OR($V45="",$V45=0),$X45="Матове покриття з патиною",$F45=19,$H45=1),$AI45*Прайс!$F$77,IF(AND(OR($V45="",$V45=0),$X45="Глянцеве покриття з патиною",$F45=19,$H45=1),$AI45*Прайс!$F$78,IF(AND(OR($V45="",$V45=0),$X45="Матовий DECAPE",$F45=19,$H45=1),$AI45*Прайс!$F$79,IF(AND(OR($V45="",$V45=0),$X45="Глянцевий DECAPE",$F45=19,$H45=1),$AI45*Прайс!$F$80,0)))))))))+IF($G45="Гладкий",0,IF(AND(OR($V45="Перли",$V45="Металік",$V45="Перл.зол.",$V45="Перл.ср.",$V45="Перл.зол.",$V45="Зор.н.ср.",$V45="Зор.н.зол.",$V45="Зор.н.різн.",$V45="Гума"),$F45=19,$H45=2),$AI45*Прайс!$G$76,IF(AND(OR($V45="",$V45=0),$X45="Матове",$F45=19,$H45=2),Просчет!$AI45*Прайс!$G$73,IF(AND(OR($V45="",$V45=0),$X45="Глянець",$F45=19,$H45=2),$AI45*Прайс!$G$75,IF(AND(OR($V45="",$V45=0),$X45="Софт(TS)",$F45=19,$H45=2),$AI45*Прайс!$G$74,IF(AND(OR($V45="",$V45=0),$X45="Матове покриття з патиною",$F45=19,$H45=2),$AI45*Прайс!$G$77,IF(AND(OR($V45="",$V45=0),$X45="Глянцеве покриття з патиною",$F45=19,$H45=2),$AI45*Прайс!$G$78,IF(AND(OR($V45="",$V45=0),$X45="Матовий DECAPE",$F45=19,$H45=2),$AI45*Прайс!$G$79,IF(AND(OR($V45="",$V45=0),$X45="Глянцевий DECAPE",$F45=19,$H45=2),$AI45*Прайс!$G$78,0)))))))))+IF(AND($S45=1,OR($H45=1,$H45=0),$X45=Наименование!$L$12,$F45=19),$AI45*Прайс!$F$89,IF(AND($S45=1,OR($H45=1,$H45=0),$X45=Наименование!$L$13,$F45=19),$AI45*Прайс!$F$90,IF(AND($S45=1,OR($H45=1,$H45=0),$X45=Наименование!$L65,$F45=19),$AI45*Прайс!$F$91,IF(AND($S45=1,OR($H45=1,$H45=0),$X45=Наименование!$L$15,$F45=19),$AI45*Прайс!$F$92,0))))+IF(AND($S45=1,$H45=2,$X45=Наименование!$L$12,$F45=19),$AI45*Прайс!$G$89,IF(AND($S45=1,$H45=2,$X45=Наименование!$L$13,$F45=19),$AI45*Прайс!$G$90,IF(AND($S45=1,$H45=2,$X45=Наименование!$L$14,$F45=19),$AI45*Прайс!$G$91,IF(AND($S45=1,$H45=2,$X45=Наименование!$L$15,$F45=19),$AI45*Прайс!$G$92))))</f>
        <v>0</v>
      </c>
      <c r="AB45" s="195">
        <f>IF($G45="Гладкий",IF(OR($C45=0,$C45=""),0,IF($Y45="Матове",$AI45*(Прайс!$D$10-500),IF($Y45="Глянець",$AI45*(Прайс!$D$11-500),IF($Y45="Софт(TS)",$AI45*(Прайс!#REF!-500),0)))),0)+IF($G45="Гладкий",0,IF(AND($Y45="Матове",$H45=1),$AI45*Прайс!$D$73*0.5,IF(AND($Y45="Глянець",$H45=1),$AI45*Прайс!$D$75*0.5,IF(AND($Y45="Софт(TS)",$H45=1),$AI45*Прайс!$D$74*0.5,IF(AND($Y45="Матове покриття з патиною",$H45=1),$AI45*Прайс!$D$77*0.5,IF(AND($Y45="Глянцеве покриття з патиною",$H45=1),$AI45*Прайс!$D$78*0.5,IF(AND($Y45="Матовий DECAPE",$H45=1),$AI45*Прайс!$D$79*0.5,IF(AND($Y45="Глянцевий DECAPE",$H45=1),$AI45*Прайс!$D$80*0.5,0))))))))+IF($G45="Гладкий",0,IF(AND($Y45="Матове",$H45=2),$AI45*Прайс!$E$73*0.5,IF(AND($Y45="Глянець",$H45=2),$AI45*Прайс!$E$75*0.5,IF(AND($Y45="Софт(TS)",$H45=2),$AI45*Прайс!$E$74*0.5,IF(AND($Y45="Матове покриття з патиною",$H45=2),$AI45*Прайс!$E$77*0.5,IF(AND($Y45="Глянцеве покриття з патиною",$H45=2),$AI45*Прайс!$E$78*0.5,IF(AND($Y45="Матовий DECAPE",$H45=2),$AI45*Прайс!$E$79*0.5,IF(AND($Y45="Глянцевий DECAPE",$H45=2),$AI45*Прайс!$E$80*0.5,0)))))))+IF(AND($S45=1,OR($H45=1,$H45=0),$Y45=Прайс!$C$89),$AI45*[1]Прайс!$D$74*0.5,IF(AND($S45=1,OR($H45=1,$H45=0),$Y45=Прайс!$C$90),$AI45*Прайс!$D$90*0.5,IF(AND($S45=1,OR($H45=1,$H45=0),$Y45=Прайс!$C$91),$AI45*Прайс!$D$91*0.5,IF(AND($S45=1,OR($H45=1,$H45=0),$Y45=Прайс!$C$92),$AI45*Прайс!$D$92*0.5,0))))+IF(AND($S45=1,$H45=2,$Y45=Прайс!$C$89),$AI45*Прайс!$E$89*0.5,IF(AND($S45=1,$H45=2,$Y45=Прайс!$C$90),$AI45*Прайс!$E$90*0.5,IF(AND($S45=1,$H45=2,$Y45=Прайс!$C$91),$AI45*Прайс!$E$91*0.5,IF(AND($S45=1,$H45=2,$Y45=Прайс!$C$92),$AI45*Прайс!$E$92*0.5,0)))))</f>
        <v>0</v>
      </c>
      <c r="AC45" s="197" t="str">
        <f>IF(Бланк!AD62="","",Бланк!AD62*E45)</f>
        <v/>
      </c>
      <c r="AD45" s="195">
        <f>IF(OR($AC45=0,$AC45=""),0,$AC45*Прайс!$D$111)</f>
        <v>0</v>
      </c>
      <c r="AE45" s="197" t="str">
        <f>IF(Бланк!AE62="","",Бланк!AE62)</f>
        <v/>
      </c>
      <c r="AF45" s="197" t="str">
        <f>IF(Бланк!AF62="","",Бланк!AF62)</f>
        <v/>
      </c>
      <c r="AG45" s="197" t="str">
        <f>IF(Бланк!AG62="","",Бланк!AG62)</f>
        <v/>
      </c>
      <c r="AH45" s="197" t="str">
        <f>IF(Бланк!AH62="","",Бланк!AH62)</f>
        <v/>
      </c>
      <c r="AI45" s="139">
        <f>IF(Бланк!$AI62="","",Бланк!$AI62)</f>
        <v>0</v>
      </c>
      <c r="AJ45" s="198"/>
      <c r="AK45" s="198"/>
      <c r="AL45" s="198"/>
      <c r="AM45" s="199"/>
      <c r="AN45" s="199"/>
      <c r="AO45" s="199"/>
      <c r="AP45" s="199"/>
      <c r="AQ45" s="200"/>
      <c r="AR45" s="190"/>
    </row>
    <row r="46" spans="2:44" s="202" customFormat="1" ht="21" customHeight="1" x14ac:dyDescent="0.3">
      <c r="B46" s="201">
        <v>43</v>
      </c>
      <c r="C46" s="192" t="str">
        <f>IF(Бланк!$C63="","",Бланк!$C63/1000)</f>
        <v/>
      </c>
      <c r="D46" s="192" t="str">
        <f>IF(Бланк!$D63="","",Бланк!$D63/1000)</f>
        <v/>
      </c>
      <c r="E46" s="192" t="str">
        <f>IF(Бланк!$E63="","",Бланк!$E63)</f>
        <v/>
      </c>
      <c r="F46" s="192" t="str">
        <f>IF(Бланк!$F63="","",Бланк!$F63)</f>
        <v/>
      </c>
      <c r="G46" s="192" t="str">
        <f>IF(Бланк!$G63="","",Бланк!$G63)</f>
        <v/>
      </c>
      <c r="H46" s="193" t="str">
        <f>IF($G46="","",VLOOKUP($G46,Наименование!$M$42:$N$95,2,FALSE))</f>
        <v/>
      </c>
      <c r="I46" s="192" t="str">
        <f>IF(Бланк!$H63="","",Бланк!$H63)</f>
        <v/>
      </c>
      <c r="J46" s="192" t="str">
        <f>IF(Бланк!$I63="","",Бланк!$I63)</f>
        <v/>
      </c>
      <c r="K46" s="194" t="str">
        <f>IF(OR($J46="",$J46=0),"",IF($J46="Пряма з чвертю",(Прайс!$D$106+Прайс!$D$109)*Просчет!$E46,IF($J46="Пряма без чверті",Прайс!$D$106*Просчет!$E46,IF(AND($J46="Шпрос з чвертю",OR($C46&lt;1,$C46=1)),(Прайс!$D$37+Прайс!$D$40)*Просчет!$E46,IF(AND($J46="Шпрос з чвертю",$C46&gt;1),(Прайс!$F$37+Прайс!$D$40)*Просчет!$E46,IF(AND($J46="Шпрос без чверті",OR($C46&lt;1,$C46=1)),Прайс!$D$37*Просчет!$E46,IF(AND($J46="Шпрос без чверті",$C46&gt;1),Прайс!$F$37*Просчет!$E46,"")))))))</f>
        <v/>
      </c>
      <c r="L46" s="192" t="str">
        <f>IF(Бланк!$J63="","",Бланк!$J63/1000)</f>
        <v/>
      </c>
      <c r="M46" s="192" t="str">
        <f>IF(Бланк!$K63="","",Бланк!$K63)</f>
        <v/>
      </c>
      <c r="N46" s="195">
        <f t="shared" si="0"/>
        <v>0</v>
      </c>
      <c r="O46" s="194">
        <f>IF($G46="гладкий",IF($M46="","",IF(OR($M46="J № 1",$M46="J № 2",$M46="J № 2L",$M46="J № 2R",$M46="AJ № 2",$M46="AJ № 2L",$M46="AJ № 2R",$M46="U",$M46="V"),$N46*Прайс!$D$43,IF(OR($M46="AJ № 3R",$M46="AJ № 4R",$M46="AJ № 5R",$M46="AJ № 3L",$M46="AJ № 4L",$M46="AJ № 5L",$M46="AJ № 3",$M46="AJ № 4",$M46="AJ № 5",$M46="J № 3",$M46="J № 4",$M46="J № 5",$M46="J № 6",$M46="J № 7",$M46="L",$M46="AL"),Прайс!$D$43*$E46,IF(OR($M46="J № 3L",$M46="J № 3R",$M46="J № 4L",$M46="J № 4R",$M46="J № 5L",$M46="J № 5R"),$N46/2*Прайс!$D$47*$E46,IF($M46="45 град.",$N46*Прайс!$D$42,0))))),0)</f>
        <v>0</v>
      </c>
      <c r="P46" s="192" t="str">
        <f>IF(Бланк!$L63="","",Бланк!$L63)</f>
        <v/>
      </c>
      <c r="Q46" s="192" t="str">
        <f>IF(Бланк!$M63="","",Бланк!$M63)</f>
        <v/>
      </c>
      <c r="R46" s="194">
        <f>IF($P46="",0,IF($Q46=$U46,0,IF($Q46="",0,IF(OR($G46=35,$G46=36,$G46=37,$G46=38),Прайс!$D$118*Бланк!E63,IF(AND($G46="гладкий",OR($M46="J № 1",$M46="J № 2",$M46="J № 2L",$M46="J № 2R")),$N46*Прайс!$D$59,0)))))</f>
        <v>0</v>
      </c>
      <c r="S46" s="192" t="str">
        <f>IF(OR(Бланк!$O63=0,Бланк!$O63=""),"",1)</f>
        <v/>
      </c>
      <c r="T46" s="192" t="str">
        <f>IF(Бланк!$R63="","",Бланк!$R63)</f>
        <v/>
      </c>
      <c r="U46" s="192" t="str">
        <f>IF(Бланк!$S63="","",Бланк!$S63)</f>
        <v/>
      </c>
      <c r="V46" s="192" t="str">
        <f>IF(Бланк!$T63="","",Бланк!$T63)</f>
        <v/>
      </c>
      <c r="W46" s="196" t="str">
        <f>IF(Бланк!$W63="","",Бланк!$W63)</f>
        <v/>
      </c>
      <c r="X46" s="197" t="str">
        <f>IF(Бланк!AB63="","",Бланк!AB63)</f>
        <v/>
      </c>
      <c r="Y46" s="197" t="str">
        <f>IF(Бланк!AC63="","",Бланк!AC63)</f>
        <v/>
      </c>
      <c r="Z46" s="195">
        <f>IF($G46="Гладкий",IF(OR($C46=0,$C46=""),0,IF(AND(OR($V46="Перли",$V46="Металік",$V46="Перл.зол.",$V46="Перл.ср.",$V46="Перл.зол.",$V46="Зор.н.ср.",$V46="Зор.н.зол.",$V46="Зор.н.різн.",$V46="Гума"),OR($F46=4,$F46=6,$F46=8,$F46=10,$F46=16)),$AI46*Прайс!$D$12,IF(AND(OR($V46="",$V46=0),$X46="Матове",OR($F46=4,$F46=6,$F46=8,$F46=10,$F46=16)),$AI46*Прайс!$D$10,IF(AND(OR($V46="",$V46=0),$X46="Глянець",OR($F46=4,$F46=6,$F46=8,$F46=10,$F46=16)),$AI46*Прайс!$D$11,IF(AND(OR($V46="",$V46=0),$X46="Софт(TS)",OR($F46=4,$F46=6,$F46=8,$F46=10,$F46=16)),$AI46*Прайс!#REF!,0))))),0)+IF($G46="Гладкий",0,IF(AND(OR($V46="Перли",$V46="Металік",$V46="Перл.зол.",$V46="Перл.ср.",$V46="Перл.зол.",$V46="Зор.н.ср.",$V46="Зор.н.зол.",$V46="Зор.н.різн.",$V46="Гума"),OR($F46=4,$F46=6,$F46=8,$F46=10,$F46=16),$H46=1),Просчет!$AI46*Прайс!$D$76,IF(AND(OR($V46="",$V46=0),$X46="Матове",OR($F46=4,$F46=6,$F46=8,$F46=10,$F46=16),$H46=1),Просчет!$AI46*Прайс!$D$73,IF(AND(OR($V46="",$V46=0),$X46="Глянець",OR($F46=4,$F46=6,$F46=8,$F46=10,$F46=16),$H46=1),Просчет!$AI46*Прайс!$D$75,IF(AND(OR($V46="",$V46=0),$G46="Софт(TS)",OR($F46=4,$F46=6,$F46=8,$F46=10,$F46=16),$H46=1),$AI46*Прайс!$D$74,IF(AND(OR($V46="",$V46=0),$X46="Матове покриття з патиною",OR($F46=4,$F46=6,$F46=8,$F46=10,$F46=16),$H46=1),$AI46*Прайс!$D$77,IF(AND(OR($V46="",$V46=0),$X46="Глянцеве покриття з патиною",OR($F46=4,$F46=6,$F46=8,$F46=10,$F46=16),$H46=1),$AI46*Прайс!$D$78,IF(AND(OR($V46="",$V46=0),$X46="Матовий DECAPE",OR($F46=4,$F46=6,$F46=8,$F46=10,$F46=16),$H46=1),$AI46*Прайс!$D$79,IF(AND(OR($V46="",$V46=0),$X46="Глянцевий DECAPE",OR($F46=4,$F46=6,$F46=8,$F46=10,$F46=16),$H46=1),$AI46*Прайс!$D$80,0)))))))))+IF($G46="Гладкий",0,IF(AND(OR($V46="Перли",$V46="Металік",$V46="Перл.зол.",$V46="Перл.ср.",$V46="Перл.зол.",$V46="Зор.н.ср.",$V46="Зор.н.зол.",$V46="Зор.н.різн.",$V46="Гума"),OR($F46=4,$F46=6,$F46=8,$F46=10,$F46=16),$H46=2),$AI46*Прайс!$E$76,IF(AND(OR($V46="",$V46=0),$X46="Матове",OR($F46=4,$F46=6,$F46=8,$F46=10,$F46=16),$H46=2),Просчет!$AI46*Прайс!$E$73,IF(AND(OR($V46="",$V46=0),$X46="Глянець",OR($F46=4,$F46=6,$F46=8,$F46=10,$F46=16),$H46=2),$AI46*Прайс!$E$75,IF(AND(OR($V46="",$V46=0),$X46="Софт(TS)",OR($F46=4,$F46=6,$F46=8,$F46=10,$F46=16),$H46=2),$AI46*Прайс!$E$74,IF(AND(OR($V46="",$V46=0),$X46="Матове покриття з патиною",OR($F46=4,$F46=6,$F46=8,$F46=10,$F46=16),$H46=2),$AI46*Прайс!$E$77,IF(AND(OR($V46="",$V46=0),$X46="Глянцеве покриття з патиною",OR($F46=4,$F46=6,$F46=8,$F46=10,$F46=16),$H46=2),$AI46*Прайс!$E$78,IF(AND(OR($V46="",$V46=0),$X46="Матовий DECAPE",OR($F46=4,$F46=6,$F46=8,$F46=10,$F46=16),$H46=2),$AI46*Прайс!$E$79,IF(AND(OR($V46="",$V46=0),$X46="Глянцевий DECAPE",OR($F46=4,$F46=6,$F46=8,$F46=10,$F46=16),$H46=2),$AI46*Прайс!$E$80,0)))))))))+IF(AND($S46=1,OR($H46=1,$H46=0),$X46=Наименование!$L$12,OR($F46=4,$F46=6,$F46=8,$F46=10,$F46=16)),$AI46*Прайс!$D$89,IF(AND($S46=1,OR($H46=1,$H46=0),$X46=Наименование!$L$13,OR($F46=4,$F46=6,$F46=8,$F46=10,$F46=16)),$AI46*Прайс!$D$90,IF(AND($S46=1,OR($H46=1,$H46=0),$X46=Наименование!$L66,OR($F46=4,$F46=6,$F46=8,$F46=10,$F46=16)),$AI46*Прайс!$D$91,IF(AND($S46=1,OR($H46=1,$H46=0),$X46=Наименование!$L$15,OR($F46=4,$F46=6,$F46=8,$F46=10,$F46=16)),$AI46*Прайс!$D$92,0))))+IF(AND($S46=1,$H46=2,$X46=Наименование!$L$12,OR($F46=4,$F46=6,$F46=8,$F46=10,$F46=16)),$AI46*Прайс!$E$89,IF(AND($S46=1,$H46=2,$X46=Наименование!$L$13,OR($F46=4,$F46=6,$F46=8,$F46=10,$F46=16)),$AI46*Прайс!$E$90,IF(AND($S46=1,$H46=2,$X46=Наименование!$L$14,OR($F46=4,$F46=6,$F46=8,$F46=10,$F46=16)),$AI46*Прайс!$E$91,IF(AND($S46=1,$H46=2,$X46=Наименование!$L$15,OR($F46=4,$F46=6,$F46=8,$F46=10,$F46=16)),$AI46*Прайс!$E$92))))</f>
        <v>0</v>
      </c>
      <c r="AA46" s="195">
        <f>IF($G46="Гладкий",IF(OR($C46=0,$C46=""),0,IF(AND(OR($V46="Перли",$V46="Металік",$V46="Перл.зол.",$V46="Перл.ср.",$V46="Перл.зол.",$V46="Зор.н.ср.",$V46="Зор.н.зол.",$V46="Зор.н.різн.",$V46="Гума"),$F46=19),$AI46*Прайс!$E$12,IF(AND(OR($V46="",$V46=0),$X46="Матове",$F46=19),$AI46*Прайс!$E$10,IF(AND(OR($V46="",$V46=0),$X46="Глянець",$F46=19),$AI46*Прайс!$E$11,IF(AND(OR($V46="",$V46=0),$X46="Софт(TS)",$F46=19),$AI46*Прайс!#REF!,0))))),0)+IF($G46="Гладкий",0,IF(AND(OR($V46="Перли",$V46="Металік",$V46="Перл.зол.",$V46="Перл.ср.",$V46="Перл.зол.",$V46="Зор.н.ср.",$V46="Зор.н.зол.",$V46="Зор.н.різн.",$V46="Гума"),$F46=19,$H46=1),Просчет!$AI46*Прайс!$F$76,IF(AND(OR($V46="",$V46=0),$X46="Матове",$F46=19,$H46=1),Просчет!$AI46*Прайс!$F$73,IF(AND(OR($V46="",$V46=0),$X46="Глянець",$F46=19,$H46=1),Просчет!$AI46*Прайс!$F$75,IF(AND(OR($V46="",$V46=0),$G46="Софт(TS)",$F46=19,$H46=1),$AI46*Прайс!$F$74,IF(AND(OR($V46="",$V46=0),$X46="Матове покриття з патиною",$F46=19,$H46=1),$AI46*Прайс!$F$77,IF(AND(OR($V46="",$V46=0),$X46="Глянцеве покриття з патиною",$F46=19,$H46=1),$AI46*Прайс!$F$78,IF(AND(OR($V46="",$V46=0),$X46="Матовий DECAPE",$F46=19,$H46=1),$AI46*Прайс!$F$79,IF(AND(OR($V46="",$V46=0),$X46="Глянцевий DECAPE",$F46=19,$H46=1),$AI46*Прайс!$F$80,0)))))))))+IF($G46="Гладкий",0,IF(AND(OR($V46="Перли",$V46="Металік",$V46="Перл.зол.",$V46="Перл.ср.",$V46="Перл.зол.",$V46="Зор.н.ср.",$V46="Зор.н.зол.",$V46="Зор.н.різн.",$V46="Гума"),$F46=19,$H46=2),$AI46*Прайс!$G$76,IF(AND(OR($V46="",$V46=0),$X46="Матове",$F46=19,$H46=2),Просчет!$AI46*Прайс!$G$73,IF(AND(OR($V46="",$V46=0),$X46="Глянець",$F46=19,$H46=2),$AI46*Прайс!$G$75,IF(AND(OR($V46="",$V46=0),$X46="Софт(TS)",$F46=19,$H46=2),$AI46*Прайс!$G$74,IF(AND(OR($V46="",$V46=0),$X46="Матове покриття з патиною",$F46=19,$H46=2),$AI46*Прайс!$G$77,IF(AND(OR($V46="",$V46=0),$X46="Глянцеве покриття з патиною",$F46=19,$H46=2),$AI46*Прайс!$G$78,IF(AND(OR($V46="",$V46=0),$X46="Матовий DECAPE",$F46=19,$H46=2),$AI46*Прайс!$G$79,IF(AND(OR($V46="",$V46=0),$X46="Глянцевий DECAPE",$F46=19,$H46=2),$AI46*Прайс!$G$78,0)))))))))+IF(AND($S46=1,OR($H46=1,$H46=0),$X46=Наименование!$L$12,$F46=19),$AI46*Прайс!$F$89,IF(AND($S46=1,OR($H46=1,$H46=0),$X46=Наименование!$L$13,$F46=19),$AI46*Прайс!$F$90,IF(AND($S46=1,OR($H46=1,$H46=0),$X46=Наименование!$L66,$F46=19),$AI46*Прайс!$F$91,IF(AND($S46=1,OR($H46=1,$H46=0),$X46=Наименование!$L$15,$F46=19),$AI46*Прайс!$F$92,0))))+IF(AND($S46=1,$H46=2,$X46=Наименование!$L$12,$F46=19),$AI46*Прайс!$G$89,IF(AND($S46=1,$H46=2,$X46=Наименование!$L$13,$F46=19),$AI46*Прайс!$G$90,IF(AND($S46=1,$H46=2,$X46=Наименование!$L$14,$F46=19),$AI46*Прайс!$G$91,IF(AND($S46=1,$H46=2,$X46=Наименование!$L$15,$F46=19),$AI46*Прайс!$G$92))))</f>
        <v>0</v>
      </c>
      <c r="AB46" s="195">
        <f>IF($G46="Гладкий",IF(OR($C46=0,$C46=""),0,IF($Y46="Матове",$AI46*(Прайс!$D$10-500),IF($Y46="Глянець",$AI46*(Прайс!$D$11-500),IF($Y46="Софт(TS)",$AI46*(Прайс!#REF!-500),0)))),0)+IF($G46="Гладкий",0,IF(AND($Y46="Матове",$H46=1),$AI46*Прайс!$D$73*0.5,IF(AND($Y46="Глянець",$H46=1),$AI46*Прайс!$D$75*0.5,IF(AND($Y46="Софт(TS)",$H46=1),$AI46*Прайс!$D$74*0.5,IF(AND($Y46="Матове покриття з патиною",$H46=1),$AI46*Прайс!$D$77*0.5,IF(AND($Y46="Глянцеве покриття з патиною",$H46=1),$AI46*Прайс!$D$78*0.5,IF(AND($Y46="Матовий DECAPE",$H46=1),$AI46*Прайс!$D$79*0.5,IF(AND($Y46="Глянцевий DECAPE",$H46=1),$AI46*Прайс!$D$80*0.5,0))))))))+IF($G46="Гладкий",0,IF(AND($Y46="Матове",$H46=2),$AI46*Прайс!$E$73*0.5,IF(AND($Y46="Глянець",$H46=2),$AI46*Прайс!$E$75*0.5,IF(AND($Y46="Софт(TS)",$H46=2),$AI46*Прайс!$E$74*0.5,IF(AND($Y46="Матове покриття з патиною",$H46=2),$AI46*Прайс!$E$77*0.5,IF(AND($Y46="Глянцеве покриття з патиною",$H46=2),$AI46*Прайс!$E$78*0.5,IF(AND($Y46="Матовий DECAPE",$H46=2),$AI46*Прайс!$E$79*0.5,IF(AND($Y46="Глянцевий DECAPE",$H46=2),$AI46*Прайс!$E$80*0.5,0)))))))+IF(AND($S46=1,OR($H46=1,$H46=0),$Y46=Прайс!$C$89),$AI46*[1]Прайс!$D$74*0.5,IF(AND($S46=1,OR($H46=1,$H46=0),$Y46=Прайс!$C$90),$AI46*Прайс!$D$90*0.5,IF(AND($S46=1,OR($H46=1,$H46=0),$Y46=Прайс!$C$91),$AI46*Прайс!$D$91*0.5,IF(AND($S46=1,OR($H46=1,$H46=0),$Y46=Прайс!$C$92),$AI46*Прайс!$D$92*0.5,0))))+IF(AND($S46=1,$H46=2,$Y46=Прайс!$C$89),$AI46*Прайс!$E$89*0.5,IF(AND($S46=1,$H46=2,$Y46=Прайс!$C$90),$AI46*Прайс!$E$90*0.5,IF(AND($S46=1,$H46=2,$Y46=Прайс!$C$91),$AI46*Прайс!$E$91*0.5,IF(AND($S46=1,$H46=2,$Y46=Прайс!$C$92),$AI46*Прайс!$E$92*0.5,0)))))</f>
        <v>0</v>
      </c>
      <c r="AC46" s="197" t="str">
        <f>IF(Бланк!AD63="","",Бланк!AD63*E46)</f>
        <v/>
      </c>
      <c r="AD46" s="195">
        <f>IF(OR($AC46=0,$AC46=""),0,$AC46*Прайс!$D$111)</f>
        <v>0</v>
      </c>
      <c r="AE46" s="197" t="str">
        <f>IF(Бланк!AE63="","",Бланк!AE63)</f>
        <v/>
      </c>
      <c r="AF46" s="197" t="str">
        <f>IF(Бланк!AF63="","",Бланк!AF63)</f>
        <v/>
      </c>
      <c r="AG46" s="197" t="str">
        <f>IF(Бланк!AG63="","",Бланк!AG63)</f>
        <v/>
      </c>
      <c r="AH46" s="197" t="str">
        <f>IF(Бланк!AH63="","",Бланк!AH63)</f>
        <v/>
      </c>
      <c r="AI46" s="139">
        <f>IF(Бланк!$AI63="","",Бланк!$AI63)</f>
        <v>0</v>
      </c>
      <c r="AJ46" s="198"/>
      <c r="AK46" s="198"/>
      <c r="AL46" s="198"/>
      <c r="AM46" s="199"/>
      <c r="AN46" s="199"/>
      <c r="AO46" s="199"/>
      <c r="AP46" s="199"/>
      <c r="AQ46" s="200"/>
      <c r="AR46" s="190"/>
    </row>
    <row r="47" spans="2:44" s="202" customFormat="1" ht="21" customHeight="1" x14ac:dyDescent="0.3">
      <c r="B47" s="201">
        <v>44</v>
      </c>
      <c r="C47" s="192" t="str">
        <f>IF(Бланк!$C64="","",Бланк!$C64/1000)</f>
        <v/>
      </c>
      <c r="D47" s="192" t="str">
        <f>IF(Бланк!$D64="","",Бланк!$D64/1000)</f>
        <v/>
      </c>
      <c r="E47" s="192" t="str">
        <f>IF(Бланк!$E64="","",Бланк!$E64)</f>
        <v/>
      </c>
      <c r="F47" s="192" t="str">
        <f>IF(Бланк!$F64="","",Бланк!$F64)</f>
        <v/>
      </c>
      <c r="G47" s="192" t="str">
        <f>IF(Бланк!$G64="","",Бланк!$G64)</f>
        <v/>
      </c>
      <c r="H47" s="193" t="str">
        <f>IF($G47="","",VLOOKUP($G47,Наименование!$M$42:$N$95,2,FALSE))</f>
        <v/>
      </c>
      <c r="I47" s="192" t="str">
        <f>IF(Бланк!$H64="","",Бланк!$H64)</f>
        <v/>
      </c>
      <c r="J47" s="192" t="str">
        <f>IF(Бланк!$I64="","",Бланк!$I64)</f>
        <v/>
      </c>
      <c r="K47" s="194" t="str">
        <f>IF(OR($J47="",$J47=0),"",IF($J47="Пряма з чвертю",(Прайс!$D$106+Прайс!$D$109)*Просчет!$E47,IF($J47="Пряма без чверті",Прайс!$D$106*Просчет!$E47,IF(AND($J47="Шпрос з чвертю",OR($C47&lt;1,$C47=1)),(Прайс!$D$37+Прайс!$D$40)*Просчет!$E47,IF(AND($J47="Шпрос з чвертю",$C47&gt;1),(Прайс!$F$37+Прайс!$D$40)*Просчет!$E47,IF(AND($J47="Шпрос без чверті",OR($C47&lt;1,$C47=1)),Прайс!$D$37*Просчет!$E47,IF(AND($J47="Шпрос без чверті",$C47&gt;1),Прайс!$F$37*Просчет!$E47,"")))))))</f>
        <v/>
      </c>
      <c r="L47" s="192" t="str">
        <f>IF(Бланк!$J64="","",Бланк!$J64/1000)</f>
        <v/>
      </c>
      <c r="M47" s="192" t="str">
        <f>IF(Бланк!$K64="","",Бланк!$K64)</f>
        <v/>
      </c>
      <c r="N47" s="195">
        <f t="shared" si="0"/>
        <v>0</v>
      </c>
      <c r="O47" s="194">
        <f>IF($G47="гладкий",IF($M47="","",IF(OR($M47="J № 1",$M47="J № 2",$M47="J № 2L",$M47="J № 2R",$M47="AJ № 2",$M47="AJ № 2L",$M47="AJ № 2R",$M47="U",$M47="V"),$N47*Прайс!$D$43,IF(OR($M47="AJ № 3R",$M47="AJ № 4R",$M47="AJ № 5R",$M47="AJ № 3L",$M47="AJ № 4L",$M47="AJ № 5L",$M47="AJ № 3",$M47="AJ № 4",$M47="AJ № 5",$M47="J № 3",$M47="J № 4",$M47="J № 5",$M47="J № 6",$M47="J № 7",$M47="L",$M47="AL"),Прайс!$D$43*$E47,IF(OR($M47="J № 3L",$M47="J № 3R",$M47="J № 4L",$M47="J № 4R",$M47="J № 5L",$M47="J № 5R"),$N47/2*Прайс!$D$47*$E47,IF($M47="45 град.",$N47*Прайс!$D$42,0))))),0)</f>
        <v>0</v>
      </c>
      <c r="P47" s="192" t="str">
        <f>IF(Бланк!$L64="","",Бланк!$L64)</f>
        <v/>
      </c>
      <c r="Q47" s="192" t="str">
        <f>IF(Бланк!$M64="","",Бланк!$M64)</f>
        <v/>
      </c>
      <c r="R47" s="194">
        <f>IF($P47="",0,IF($Q47=$U47,0,IF($Q47="",0,IF(OR($G47=35,$G47=36,$G47=37,$G47=38),Прайс!$D$118*Бланк!E64,IF(AND($G47="гладкий",OR($M47="J № 1",$M47="J № 2",$M47="J № 2L",$M47="J № 2R")),$N47*Прайс!$D$59,0)))))</f>
        <v>0</v>
      </c>
      <c r="S47" s="192" t="str">
        <f>IF(OR(Бланк!$O64=0,Бланк!$O64=""),"",1)</f>
        <v/>
      </c>
      <c r="T47" s="192" t="str">
        <f>IF(Бланк!$R64="","",Бланк!$R64)</f>
        <v/>
      </c>
      <c r="U47" s="192" t="str">
        <f>IF(Бланк!$S64="","",Бланк!$S64)</f>
        <v/>
      </c>
      <c r="V47" s="192" t="str">
        <f>IF(Бланк!$T64="","",Бланк!$T64)</f>
        <v/>
      </c>
      <c r="W47" s="196" t="str">
        <f>IF(Бланк!$W64="","",Бланк!$W64)</f>
        <v/>
      </c>
      <c r="X47" s="197" t="str">
        <f>IF(Бланк!AB64="","",Бланк!AB64)</f>
        <v/>
      </c>
      <c r="Y47" s="197" t="str">
        <f>IF(Бланк!AC64="","",Бланк!AC64)</f>
        <v/>
      </c>
      <c r="Z47" s="195">
        <f>IF($G47="Гладкий",IF(OR($C47=0,$C47=""),0,IF(AND(OR($V47="Перли",$V47="Металік",$V47="Перл.зол.",$V47="Перл.ср.",$V47="Перл.зол.",$V47="Зор.н.ср.",$V47="Зор.н.зол.",$V47="Зор.н.різн.",$V47="Гума"),OR($F47=4,$F47=6,$F47=8,$F47=10,$F47=16)),$AI47*Прайс!$D$12,IF(AND(OR($V47="",$V47=0),$X47="Матове",OR($F47=4,$F47=6,$F47=8,$F47=10,$F47=16)),$AI47*Прайс!$D$10,IF(AND(OR($V47="",$V47=0),$X47="Глянець",OR($F47=4,$F47=6,$F47=8,$F47=10,$F47=16)),$AI47*Прайс!$D$11,IF(AND(OR($V47="",$V47=0),$X47="Софт(TS)",OR($F47=4,$F47=6,$F47=8,$F47=10,$F47=16)),$AI47*Прайс!#REF!,0))))),0)+IF($G47="Гладкий",0,IF(AND(OR($V47="Перли",$V47="Металік",$V47="Перл.зол.",$V47="Перл.ср.",$V47="Перл.зол.",$V47="Зор.н.ср.",$V47="Зор.н.зол.",$V47="Зор.н.різн.",$V47="Гума"),OR($F47=4,$F47=6,$F47=8,$F47=10,$F47=16),$H47=1),Просчет!$AI47*Прайс!$D$76,IF(AND(OR($V47="",$V47=0),$X47="Матове",OR($F47=4,$F47=6,$F47=8,$F47=10,$F47=16),$H47=1),Просчет!$AI47*Прайс!$D$73,IF(AND(OR($V47="",$V47=0),$X47="Глянець",OR($F47=4,$F47=6,$F47=8,$F47=10,$F47=16),$H47=1),Просчет!$AI47*Прайс!$D$75,IF(AND(OR($V47="",$V47=0),$G47="Софт(TS)",OR($F47=4,$F47=6,$F47=8,$F47=10,$F47=16),$H47=1),$AI47*Прайс!$D$74,IF(AND(OR($V47="",$V47=0),$X47="Матове покриття з патиною",OR($F47=4,$F47=6,$F47=8,$F47=10,$F47=16),$H47=1),$AI47*Прайс!$D$77,IF(AND(OR($V47="",$V47=0),$X47="Глянцеве покриття з патиною",OR($F47=4,$F47=6,$F47=8,$F47=10,$F47=16),$H47=1),$AI47*Прайс!$D$78,IF(AND(OR($V47="",$V47=0),$X47="Матовий DECAPE",OR($F47=4,$F47=6,$F47=8,$F47=10,$F47=16),$H47=1),$AI47*Прайс!$D$79,IF(AND(OR($V47="",$V47=0),$X47="Глянцевий DECAPE",OR($F47=4,$F47=6,$F47=8,$F47=10,$F47=16),$H47=1),$AI47*Прайс!$D$80,0)))))))))+IF($G47="Гладкий",0,IF(AND(OR($V47="Перли",$V47="Металік",$V47="Перл.зол.",$V47="Перл.ср.",$V47="Перл.зол.",$V47="Зор.н.ср.",$V47="Зор.н.зол.",$V47="Зор.н.різн.",$V47="Гума"),OR($F47=4,$F47=6,$F47=8,$F47=10,$F47=16),$H47=2),$AI47*Прайс!$E$76,IF(AND(OR($V47="",$V47=0),$X47="Матове",OR($F47=4,$F47=6,$F47=8,$F47=10,$F47=16),$H47=2),Просчет!$AI47*Прайс!$E$73,IF(AND(OR($V47="",$V47=0),$X47="Глянець",OR($F47=4,$F47=6,$F47=8,$F47=10,$F47=16),$H47=2),$AI47*Прайс!$E$75,IF(AND(OR($V47="",$V47=0),$X47="Софт(TS)",OR($F47=4,$F47=6,$F47=8,$F47=10,$F47=16),$H47=2),$AI47*Прайс!$E$74,IF(AND(OR($V47="",$V47=0),$X47="Матове покриття з патиною",OR($F47=4,$F47=6,$F47=8,$F47=10,$F47=16),$H47=2),$AI47*Прайс!$E$77,IF(AND(OR($V47="",$V47=0),$X47="Глянцеве покриття з патиною",OR($F47=4,$F47=6,$F47=8,$F47=10,$F47=16),$H47=2),$AI47*Прайс!$E$78,IF(AND(OR($V47="",$V47=0),$X47="Матовий DECAPE",OR($F47=4,$F47=6,$F47=8,$F47=10,$F47=16),$H47=2),$AI47*Прайс!$E$79,IF(AND(OR($V47="",$V47=0),$X47="Глянцевий DECAPE",OR($F47=4,$F47=6,$F47=8,$F47=10,$F47=16),$H47=2),$AI47*Прайс!$E$80,0)))))))))+IF(AND($S47=1,OR($H47=1,$H47=0),$X47=Наименование!$L$12,OR($F47=4,$F47=6,$F47=8,$F47=10,$F47=16)),$AI47*Прайс!$D$89,IF(AND($S47=1,OR($H47=1,$H47=0),$X47=Наименование!$L$13,OR($F47=4,$F47=6,$F47=8,$F47=10,$F47=16)),$AI47*Прайс!$D$90,IF(AND($S47=1,OR($H47=1,$H47=0),$X47=Наименование!$L67,OR($F47=4,$F47=6,$F47=8,$F47=10,$F47=16)),$AI47*Прайс!$D$91,IF(AND($S47=1,OR($H47=1,$H47=0),$X47=Наименование!$L$15,OR($F47=4,$F47=6,$F47=8,$F47=10,$F47=16)),$AI47*Прайс!$D$92,0))))+IF(AND($S47=1,$H47=2,$X47=Наименование!$L$12,OR($F47=4,$F47=6,$F47=8,$F47=10,$F47=16)),$AI47*Прайс!$E$89,IF(AND($S47=1,$H47=2,$X47=Наименование!$L$13,OR($F47=4,$F47=6,$F47=8,$F47=10,$F47=16)),$AI47*Прайс!$E$90,IF(AND($S47=1,$H47=2,$X47=Наименование!$L$14,OR($F47=4,$F47=6,$F47=8,$F47=10,$F47=16)),$AI47*Прайс!$E$91,IF(AND($S47=1,$H47=2,$X47=Наименование!$L$15,OR($F47=4,$F47=6,$F47=8,$F47=10,$F47=16)),$AI47*Прайс!$E$92))))</f>
        <v>0</v>
      </c>
      <c r="AA47" s="195">
        <f>IF($G47="Гладкий",IF(OR($C47=0,$C47=""),0,IF(AND(OR($V47="Перли",$V47="Металік",$V47="Перл.зол.",$V47="Перл.ср.",$V47="Перл.зол.",$V47="Зор.н.ср.",$V47="Зор.н.зол.",$V47="Зор.н.різн.",$V47="Гума"),$F47=19),$AI47*Прайс!$E$12,IF(AND(OR($V47="",$V47=0),$X47="Матове",$F47=19),$AI47*Прайс!$E$10,IF(AND(OR($V47="",$V47=0),$X47="Глянець",$F47=19),$AI47*Прайс!$E$11,IF(AND(OR($V47="",$V47=0),$X47="Софт(TS)",$F47=19),$AI47*Прайс!#REF!,0))))),0)+IF($G47="Гладкий",0,IF(AND(OR($V47="Перли",$V47="Металік",$V47="Перл.зол.",$V47="Перл.ср.",$V47="Перл.зол.",$V47="Зор.н.ср.",$V47="Зор.н.зол.",$V47="Зор.н.різн.",$V47="Гума"),$F47=19,$H47=1),Просчет!$AI47*Прайс!$F$76,IF(AND(OR($V47="",$V47=0),$X47="Матове",$F47=19,$H47=1),Просчет!$AI47*Прайс!$F$73,IF(AND(OR($V47="",$V47=0),$X47="Глянець",$F47=19,$H47=1),Просчет!$AI47*Прайс!$F$75,IF(AND(OR($V47="",$V47=0),$G47="Софт(TS)",$F47=19,$H47=1),$AI47*Прайс!$F$74,IF(AND(OR($V47="",$V47=0),$X47="Матове покриття з патиною",$F47=19,$H47=1),$AI47*Прайс!$F$77,IF(AND(OR($V47="",$V47=0),$X47="Глянцеве покриття з патиною",$F47=19,$H47=1),$AI47*Прайс!$F$78,IF(AND(OR($V47="",$V47=0),$X47="Матовий DECAPE",$F47=19,$H47=1),$AI47*Прайс!$F$79,IF(AND(OR($V47="",$V47=0),$X47="Глянцевий DECAPE",$F47=19,$H47=1),$AI47*Прайс!$F$80,0)))))))))+IF($G47="Гладкий",0,IF(AND(OR($V47="Перли",$V47="Металік",$V47="Перл.зол.",$V47="Перл.ср.",$V47="Перл.зол.",$V47="Зор.н.ср.",$V47="Зор.н.зол.",$V47="Зор.н.різн.",$V47="Гума"),$F47=19,$H47=2),$AI47*Прайс!$G$76,IF(AND(OR($V47="",$V47=0),$X47="Матове",$F47=19,$H47=2),Просчет!$AI47*Прайс!$G$73,IF(AND(OR($V47="",$V47=0),$X47="Глянець",$F47=19,$H47=2),$AI47*Прайс!$G$75,IF(AND(OR($V47="",$V47=0),$X47="Софт(TS)",$F47=19,$H47=2),$AI47*Прайс!$G$74,IF(AND(OR($V47="",$V47=0),$X47="Матове покриття з патиною",$F47=19,$H47=2),$AI47*Прайс!$G$77,IF(AND(OR($V47="",$V47=0),$X47="Глянцеве покриття з патиною",$F47=19,$H47=2),$AI47*Прайс!$G$78,IF(AND(OR($V47="",$V47=0),$X47="Матовий DECAPE",$F47=19,$H47=2),$AI47*Прайс!$G$79,IF(AND(OR($V47="",$V47=0),$X47="Глянцевий DECAPE",$F47=19,$H47=2),$AI47*Прайс!$G$78,0)))))))))+IF(AND($S47=1,OR($H47=1,$H47=0),$X47=Наименование!$L$12,$F47=19),$AI47*Прайс!$F$89,IF(AND($S47=1,OR($H47=1,$H47=0),$X47=Наименование!$L$13,$F47=19),$AI47*Прайс!$F$90,IF(AND($S47=1,OR($H47=1,$H47=0),$X47=Наименование!$L67,$F47=19),$AI47*Прайс!$F$91,IF(AND($S47=1,OR($H47=1,$H47=0),$X47=Наименование!$L$15,$F47=19),$AI47*Прайс!$F$92,0))))+IF(AND($S47=1,$H47=2,$X47=Наименование!$L$12,$F47=19),$AI47*Прайс!$G$89,IF(AND($S47=1,$H47=2,$X47=Наименование!$L$13,$F47=19),$AI47*Прайс!$G$90,IF(AND($S47=1,$H47=2,$X47=Наименование!$L$14,$F47=19),$AI47*Прайс!$G$91,IF(AND($S47=1,$H47=2,$X47=Наименование!$L$15,$F47=19),$AI47*Прайс!$G$92))))</f>
        <v>0</v>
      </c>
      <c r="AB47" s="195">
        <f>IF($G47="Гладкий",IF(OR($C47=0,$C47=""),0,IF($Y47="Матове",$AI47*(Прайс!$D$10-500),IF($Y47="Глянець",$AI47*(Прайс!$D$11-500),IF($Y47="Софт(TS)",$AI47*(Прайс!#REF!-500),0)))),0)+IF($G47="Гладкий",0,IF(AND($Y47="Матове",$H47=1),$AI47*Прайс!$D$73*0.5,IF(AND($Y47="Глянець",$H47=1),$AI47*Прайс!$D$75*0.5,IF(AND($Y47="Софт(TS)",$H47=1),$AI47*Прайс!$D$74*0.5,IF(AND($Y47="Матове покриття з патиною",$H47=1),$AI47*Прайс!$D$77*0.5,IF(AND($Y47="Глянцеве покриття з патиною",$H47=1),$AI47*Прайс!$D$78*0.5,IF(AND($Y47="Матовий DECAPE",$H47=1),$AI47*Прайс!$D$79*0.5,IF(AND($Y47="Глянцевий DECAPE",$H47=1),$AI47*Прайс!$D$80*0.5,0))))))))+IF($G47="Гладкий",0,IF(AND($Y47="Матове",$H47=2),$AI47*Прайс!$E$73*0.5,IF(AND($Y47="Глянець",$H47=2),$AI47*Прайс!$E$75*0.5,IF(AND($Y47="Софт(TS)",$H47=2),$AI47*Прайс!$E$74*0.5,IF(AND($Y47="Матове покриття з патиною",$H47=2),$AI47*Прайс!$E$77*0.5,IF(AND($Y47="Глянцеве покриття з патиною",$H47=2),$AI47*Прайс!$E$78*0.5,IF(AND($Y47="Матовий DECAPE",$H47=2),$AI47*Прайс!$E$79*0.5,IF(AND($Y47="Глянцевий DECAPE",$H47=2),$AI47*Прайс!$E$80*0.5,0)))))))+IF(AND($S47=1,OR($H47=1,$H47=0),$Y47=Прайс!$C$89),$AI47*[1]Прайс!$D$74*0.5,IF(AND($S47=1,OR($H47=1,$H47=0),$Y47=Прайс!$C$90),$AI47*Прайс!$D$90*0.5,IF(AND($S47=1,OR($H47=1,$H47=0),$Y47=Прайс!$C$91),$AI47*Прайс!$D$91*0.5,IF(AND($S47=1,OR($H47=1,$H47=0),$Y47=Прайс!$C$92),$AI47*Прайс!$D$92*0.5,0))))+IF(AND($S47=1,$H47=2,$Y47=Прайс!$C$89),$AI47*Прайс!$E$89*0.5,IF(AND($S47=1,$H47=2,$Y47=Прайс!$C$90),$AI47*Прайс!$E$90*0.5,IF(AND($S47=1,$H47=2,$Y47=Прайс!$C$91),$AI47*Прайс!$E$91*0.5,IF(AND($S47=1,$H47=2,$Y47=Прайс!$C$92),$AI47*Прайс!$E$92*0.5,0)))))</f>
        <v>0</v>
      </c>
      <c r="AC47" s="197" t="str">
        <f>IF(Бланк!AD64="","",Бланк!AD64*E47)</f>
        <v/>
      </c>
      <c r="AD47" s="195">
        <f>IF(OR($AC47=0,$AC47=""),0,$AC47*Прайс!$D$111)</f>
        <v>0</v>
      </c>
      <c r="AE47" s="197" t="str">
        <f>IF(Бланк!AE64="","",Бланк!AE64)</f>
        <v/>
      </c>
      <c r="AF47" s="197" t="str">
        <f>IF(Бланк!AF64="","",Бланк!AF64)</f>
        <v/>
      </c>
      <c r="AG47" s="197" t="str">
        <f>IF(Бланк!AG64="","",Бланк!AG64)</f>
        <v/>
      </c>
      <c r="AH47" s="197" t="str">
        <f>IF(Бланк!AH64="","",Бланк!AH64)</f>
        <v/>
      </c>
      <c r="AI47" s="139">
        <f>IF(Бланк!$AI64="","",Бланк!$AI64)</f>
        <v>0</v>
      </c>
      <c r="AJ47" s="198"/>
      <c r="AK47" s="198"/>
      <c r="AL47" s="198"/>
      <c r="AM47" s="199"/>
      <c r="AN47" s="199"/>
      <c r="AO47" s="199"/>
      <c r="AP47" s="199"/>
      <c r="AQ47" s="200"/>
      <c r="AR47" s="190"/>
    </row>
    <row r="48" spans="2:44" s="202" customFormat="1" ht="21" customHeight="1" x14ac:dyDescent="0.3">
      <c r="B48" s="201">
        <v>45</v>
      </c>
      <c r="C48" s="192" t="str">
        <f>IF(Бланк!$C65="","",Бланк!$C65/1000)</f>
        <v/>
      </c>
      <c r="D48" s="192" t="str">
        <f>IF(Бланк!$D65="","",Бланк!$D65/1000)</f>
        <v/>
      </c>
      <c r="E48" s="192" t="str">
        <f>IF(Бланк!$E65="","",Бланк!$E65)</f>
        <v/>
      </c>
      <c r="F48" s="192" t="str">
        <f>IF(Бланк!$F65="","",Бланк!$F65)</f>
        <v/>
      </c>
      <c r="G48" s="192" t="str">
        <f>IF(Бланк!$G65="","",Бланк!$G65)</f>
        <v/>
      </c>
      <c r="H48" s="193" t="str">
        <f>IF($G48="","",VLOOKUP($G48,Наименование!$M$42:$N$95,2,FALSE))</f>
        <v/>
      </c>
      <c r="I48" s="192" t="str">
        <f>IF(Бланк!$H65="","",Бланк!$H65)</f>
        <v/>
      </c>
      <c r="J48" s="192" t="str">
        <f>IF(Бланк!$I65="","",Бланк!$I65)</f>
        <v/>
      </c>
      <c r="K48" s="194" t="str">
        <f>IF(OR($J48="",$J48=0),"",IF($J48="Пряма з чвертю",(Прайс!$D$106+Прайс!$D$109)*Просчет!$E48,IF($J48="Пряма без чверті",Прайс!$D$106*Просчет!$E48,IF(AND($J48="Шпрос з чвертю",OR($C48&lt;1,$C48=1)),(Прайс!$D$37+Прайс!$D$40)*Просчет!$E48,IF(AND($J48="Шпрос з чвертю",$C48&gt;1),(Прайс!$F$37+Прайс!$D$40)*Просчет!$E48,IF(AND($J48="Шпрос без чверті",OR($C48&lt;1,$C48=1)),Прайс!$D$37*Просчет!$E48,IF(AND($J48="Шпрос без чверті",$C48&gt;1),Прайс!$F$37*Просчет!$E48,"")))))))</f>
        <v/>
      </c>
      <c r="L48" s="192" t="str">
        <f>IF(Бланк!$J65="","",Бланк!$J65/1000)</f>
        <v/>
      </c>
      <c r="M48" s="192" t="str">
        <f>IF(Бланк!$K65="","",Бланк!$K65)</f>
        <v/>
      </c>
      <c r="N48" s="195">
        <f t="shared" si="0"/>
        <v>0</v>
      </c>
      <c r="O48" s="194">
        <f>IF($G48="гладкий",IF($M48="","",IF(OR($M48="J № 1",$M48="J № 2",$M48="J № 2L",$M48="J № 2R",$M48="AJ № 2",$M48="AJ № 2L",$M48="AJ № 2R",$M48="U",$M48="V"),$N48*Прайс!$D$43,IF(OR($M48="AJ № 3R",$M48="AJ № 4R",$M48="AJ № 5R",$M48="AJ № 3L",$M48="AJ № 4L",$M48="AJ № 5L",$M48="AJ № 3",$M48="AJ № 4",$M48="AJ № 5",$M48="J № 3",$M48="J № 4",$M48="J № 5",$M48="J № 6",$M48="J № 7",$M48="L",$M48="AL"),Прайс!$D$43*$E48,IF(OR($M48="J № 3L",$M48="J № 3R",$M48="J № 4L",$M48="J № 4R",$M48="J № 5L",$M48="J № 5R"),$N48/2*Прайс!$D$47*$E48,IF($M48="45 град.",$N48*Прайс!$D$42,0))))),0)</f>
        <v>0</v>
      </c>
      <c r="P48" s="192" t="str">
        <f>IF(Бланк!$L65="","",Бланк!$L65)</f>
        <v/>
      </c>
      <c r="Q48" s="192" t="str">
        <f>IF(Бланк!$M65="","",Бланк!$M65)</f>
        <v/>
      </c>
      <c r="R48" s="194">
        <f>IF($P48="",0,IF($Q48=$U48,0,IF($Q48="",0,IF(OR($G48=35,$G48=36,$G48=37,$G48=38),Прайс!$D$118*Бланк!E65,IF(AND($G48="гладкий",OR($M48="J № 1",$M48="J № 2",$M48="J № 2L",$M48="J № 2R")),$N48*Прайс!$D$59,0)))))</f>
        <v>0</v>
      </c>
      <c r="S48" s="192" t="str">
        <f>IF(OR(Бланк!$O65=0,Бланк!$O65=""),"",1)</f>
        <v/>
      </c>
      <c r="T48" s="192" t="str">
        <f>IF(Бланк!$R65="","",Бланк!$R65)</f>
        <v/>
      </c>
      <c r="U48" s="192" t="str">
        <f>IF(Бланк!$S65="","",Бланк!$S65)</f>
        <v/>
      </c>
      <c r="V48" s="192" t="str">
        <f>IF(Бланк!$T65="","",Бланк!$T65)</f>
        <v/>
      </c>
      <c r="W48" s="196" t="str">
        <f>IF(Бланк!$W65="","",Бланк!$W65)</f>
        <v/>
      </c>
      <c r="X48" s="197" t="str">
        <f>IF(Бланк!AB65="","",Бланк!AB65)</f>
        <v/>
      </c>
      <c r="Y48" s="197" t="str">
        <f>IF(Бланк!AC65="","",Бланк!AC65)</f>
        <v/>
      </c>
      <c r="Z48" s="195">
        <f>IF($G48="Гладкий",IF(OR($C48=0,$C48=""),0,IF(AND(OR($V48="Перли",$V48="Металік",$V48="Перл.зол.",$V48="Перл.ср.",$V48="Перл.зол.",$V48="Зор.н.ср.",$V48="Зор.н.зол.",$V48="Зор.н.різн.",$V48="Гума"),OR($F48=4,$F48=6,$F48=8,$F48=10,$F48=16)),$AI48*Прайс!$D$12,IF(AND(OR($V48="",$V48=0),$X48="Матове",OR($F48=4,$F48=6,$F48=8,$F48=10,$F48=16)),$AI48*Прайс!$D$10,IF(AND(OR($V48="",$V48=0),$X48="Глянець",OR($F48=4,$F48=6,$F48=8,$F48=10,$F48=16)),$AI48*Прайс!$D$11,IF(AND(OR($V48="",$V48=0),$X48="Софт(TS)",OR($F48=4,$F48=6,$F48=8,$F48=10,$F48=16)),$AI48*Прайс!#REF!,0))))),0)+IF($G48="Гладкий",0,IF(AND(OR($V48="Перли",$V48="Металік",$V48="Перл.зол.",$V48="Перл.ср.",$V48="Перл.зол.",$V48="Зор.н.ср.",$V48="Зор.н.зол.",$V48="Зор.н.різн.",$V48="Гума"),OR($F48=4,$F48=6,$F48=8,$F48=10,$F48=16),$H48=1),Просчет!$AI48*Прайс!$D$76,IF(AND(OR($V48="",$V48=0),$X48="Матове",OR($F48=4,$F48=6,$F48=8,$F48=10,$F48=16),$H48=1),Просчет!$AI48*Прайс!$D$73,IF(AND(OR($V48="",$V48=0),$X48="Глянець",OR($F48=4,$F48=6,$F48=8,$F48=10,$F48=16),$H48=1),Просчет!$AI48*Прайс!$D$75,IF(AND(OR($V48="",$V48=0),$G48="Софт(TS)",OR($F48=4,$F48=6,$F48=8,$F48=10,$F48=16),$H48=1),$AI48*Прайс!$D$74,IF(AND(OR($V48="",$V48=0),$X48="Матове покриття з патиною",OR($F48=4,$F48=6,$F48=8,$F48=10,$F48=16),$H48=1),$AI48*Прайс!$D$77,IF(AND(OR($V48="",$V48=0),$X48="Глянцеве покриття з патиною",OR($F48=4,$F48=6,$F48=8,$F48=10,$F48=16),$H48=1),$AI48*Прайс!$D$78,IF(AND(OR($V48="",$V48=0),$X48="Матовий DECAPE",OR($F48=4,$F48=6,$F48=8,$F48=10,$F48=16),$H48=1),$AI48*Прайс!$D$79,IF(AND(OR($V48="",$V48=0),$X48="Глянцевий DECAPE",OR($F48=4,$F48=6,$F48=8,$F48=10,$F48=16),$H48=1),$AI48*Прайс!$D$80,0)))))))))+IF($G48="Гладкий",0,IF(AND(OR($V48="Перли",$V48="Металік",$V48="Перл.зол.",$V48="Перл.ср.",$V48="Перл.зол.",$V48="Зор.н.ср.",$V48="Зор.н.зол.",$V48="Зор.н.різн.",$V48="Гума"),OR($F48=4,$F48=6,$F48=8,$F48=10,$F48=16),$H48=2),$AI48*Прайс!$E$76,IF(AND(OR($V48="",$V48=0),$X48="Матове",OR($F48=4,$F48=6,$F48=8,$F48=10,$F48=16),$H48=2),Просчет!$AI48*Прайс!$E$73,IF(AND(OR($V48="",$V48=0),$X48="Глянець",OR($F48=4,$F48=6,$F48=8,$F48=10,$F48=16),$H48=2),$AI48*Прайс!$E$75,IF(AND(OR($V48="",$V48=0),$X48="Софт(TS)",OR($F48=4,$F48=6,$F48=8,$F48=10,$F48=16),$H48=2),$AI48*Прайс!$E$74,IF(AND(OR($V48="",$V48=0),$X48="Матове покриття з патиною",OR($F48=4,$F48=6,$F48=8,$F48=10,$F48=16),$H48=2),$AI48*Прайс!$E$77,IF(AND(OR($V48="",$V48=0),$X48="Глянцеве покриття з патиною",OR($F48=4,$F48=6,$F48=8,$F48=10,$F48=16),$H48=2),$AI48*Прайс!$E$78,IF(AND(OR($V48="",$V48=0),$X48="Матовий DECAPE",OR($F48=4,$F48=6,$F48=8,$F48=10,$F48=16),$H48=2),$AI48*Прайс!$E$79,IF(AND(OR($V48="",$V48=0),$X48="Глянцевий DECAPE",OR($F48=4,$F48=6,$F48=8,$F48=10,$F48=16),$H48=2),$AI48*Прайс!$E$80,0)))))))))+IF(AND($S48=1,OR($H48=1,$H48=0),$X48=Наименование!$L$12,OR($F48=4,$F48=6,$F48=8,$F48=10,$F48=16)),$AI48*Прайс!$D$89,IF(AND($S48=1,OR($H48=1,$H48=0),$X48=Наименование!$L$13,OR($F48=4,$F48=6,$F48=8,$F48=10,$F48=16)),$AI48*Прайс!$D$90,IF(AND($S48=1,OR($H48=1,$H48=0),$X48=Наименование!$L68,OR($F48=4,$F48=6,$F48=8,$F48=10,$F48=16)),$AI48*Прайс!$D$91,IF(AND($S48=1,OR($H48=1,$H48=0),$X48=Наименование!$L$15,OR($F48=4,$F48=6,$F48=8,$F48=10,$F48=16)),$AI48*Прайс!$D$92,0))))+IF(AND($S48=1,$H48=2,$X48=Наименование!$L$12,OR($F48=4,$F48=6,$F48=8,$F48=10,$F48=16)),$AI48*Прайс!$E$89,IF(AND($S48=1,$H48=2,$X48=Наименование!$L$13,OR($F48=4,$F48=6,$F48=8,$F48=10,$F48=16)),$AI48*Прайс!$E$90,IF(AND($S48=1,$H48=2,$X48=Наименование!$L$14,OR($F48=4,$F48=6,$F48=8,$F48=10,$F48=16)),$AI48*Прайс!$E$91,IF(AND($S48=1,$H48=2,$X48=Наименование!$L$15,OR($F48=4,$F48=6,$F48=8,$F48=10,$F48=16)),$AI48*Прайс!$E$92))))</f>
        <v>0</v>
      </c>
      <c r="AA48" s="195">
        <f>IF($G48="Гладкий",IF(OR($C48=0,$C48=""),0,IF(AND(OR($V48="Перли",$V48="Металік",$V48="Перл.зол.",$V48="Перл.ср.",$V48="Перл.зол.",$V48="Зор.н.ср.",$V48="Зор.н.зол.",$V48="Зор.н.різн.",$V48="Гума"),$F48=19),$AI48*Прайс!$E$12,IF(AND(OR($V48="",$V48=0),$X48="Матове",$F48=19),$AI48*Прайс!$E$10,IF(AND(OR($V48="",$V48=0),$X48="Глянець",$F48=19),$AI48*Прайс!$E$11,IF(AND(OR($V48="",$V48=0),$X48="Софт(TS)",$F48=19),$AI48*Прайс!#REF!,0))))),0)+IF($G48="Гладкий",0,IF(AND(OR($V48="Перли",$V48="Металік",$V48="Перл.зол.",$V48="Перл.ср.",$V48="Перл.зол.",$V48="Зор.н.ср.",$V48="Зор.н.зол.",$V48="Зор.н.різн.",$V48="Гума"),$F48=19,$H48=1),Просчет!$AI48*Прайс!$F$76,IF(AND(OR($V48="",$V48=0),$X48="Матове",$F48=19,$H48=1),Просчет!$AI48*Прайс!$F$73,IF(AND(OR($V48="",$V48=0),$X48="Глянець",$F48=19,$H48=1),Просчет!$AI48*Прайс!$F$75,IF(AND(OR($V48="",$V48=0),$G48="Софт(TS)",$F48=19,$H48=1),$AI48*Прайс!$F$74,IF(AND(OR($V48="",$V48=0),$X48="Матове покриття з патиною",$F48=19,$H48=1),$AI48*Прайс!$F$77,IF(AND(OR($V48="",$V48=0),$X48="Глянцеве покриття з патиною",$F48=19,$H48=1),$AI48*Прайс!$F$78,IF(AND(OR($V48="",$V48=0),$X48="Матовий DECAPE",$F48=19,$H48=1),$AI48*Прайс!$F$79,IF(AND(OR($V48="",$V48=0),$X48="Глянцевий DECAPE",$F48=19,$H48=1),$AI48*Прайс!$F$80,0)))))))))+IF($G48="Гладкий",0,IF(AND(OR($V48="Перли",$V48="Металік",$V48="Перл.зол.",$V48="Перл.ср.",$V48="Перл.зол.",$V48="Зор.н.ср.",$V48="Зор.н.зол.",$V48="Зор.н.різн.",$V48="Гума"),$F48=19,$H48=2),$AI48*Прайс!$G$76,IF(AND(OR($V48="",$V48=0),$X48="Матове",$F48=19,$H48=2),Просчет!$AI48*Прайс!$G$73,IF(AND(OR($V48="",$V48=0),$X48="Глянець",$F48=19,$H48=2),$AI48*Прайс!$G$75,IF(AND(OR($V48="",$V48=0),$X48="Софт(TS)",$F48=19,$H48=2),$AI48*Прайс!$G$74,IF(AND(OR($V48="",$V48=0),$X48="Матове покриття з патиною",$F48=19,$H48=2),$AI48*Прайс!$G$77,IF(AND(OR($V48="",$V48=0),$X48="Глянцеве покриття з патиною",$F48=19,$H48=2),$AI48*Прайс!$G$78,IF(AND(OR($V48="",$V48=0),$X48="Матовий DECAPE",$F48=19,$H48=2),$AI48*Прайс!$G$79,IF(AND(OR($V48="",$V48=0),$X48="Глянцевий DECAPE",$F48=19,$H48=2),$AI48*Прайс!$G$78,0)))))))))+IF(AND($S48=1,OR($H48=1,$H48=0),$X48=Наименование!$L$12,$F48=19),$AI48*Прайс!$F$89,IF(AND($S48=1,OR($H48=1,$H48=0),$X48=Наименование!$L$13,$F48=19),$AI48*Прайс!$F$90,IF(AND($S48=1,OR($H48=1,$H48=0),$X48=Наименование!$L68,$F48=19),$AI48*Прайс!$F$91,IF(AND($S48=1,OR($H48=1,$H48=0),$X48=Наименование!$L$15,$F48=19),$AI48*Прайс!$F$92,0))))+IF(AND($S48=1,$H48=2,$X48=Наименование!$L$12,$F48=19),$AI48*Прайс!$G$89,IF(AND($S48=1,$H48=2,$X48=Наименование!$L$13,$F48=19),$AI48*Прайс!$G$90,IF(AND($S48=1,$H48=2,$X48=Наименование!$L$14,$F48=19),$AI48*Прайс!$G$91,IF(AND($S48=1,$H48=2,$X48=Наименование!$L$15,$F48=19),$AI48*Прайс!$G$92))))</f>
        <v>0</v>
      </c>
      <c r="AB48" s="195">
        <f>IF($G48="Гладкий",IF(OR($C48=0,$C48=""),0,IF($Y48="Матове",$AI48*(Прайс!$D$10-500),IF($Y48="Глянець",$AI48*(Прайс!$D$11-500),IF($Y48="Софт(TS)",$AI48*(Прайс!#REF!-500),0)))),0)+IF($G48="Гладкий",0,IF(AND($Y48="Матове",$H48=1),$AI48*Прайс!$D$73*0.5,IF(AND($Y48="Глянець",$H48=1),$AI48*Прайс!$D$75*0.5,IF(AND($Y48="Софт(TS)",$H48=1),$AI48*Прайс!$D$74*0.5,IF(AND($Y48="Матове покриття з патиною",$H48=1),$AI48*Прайс!$D$77*0.5,IF(AND($Y48="Глянцеве покриття з патиною",$H48=1),$AI48*Прайс!$D$78*0.5,IF(AND($Y48="Матовий DECAPE",$H48=1),$AI48*Прайс!$D$79*0.5,IF(AND($Y48="Глянцевий DECAPE",$H48=1),$AI48*Прайс!$D$80*0.5,0))))))))+IF($G48="Гладкий",0,IF(AND($Y48="Матове",$H48=2),$AI48*Прайс!$E$73*0.5,IF(AND($Y48="Глянець",$H48=2),$AI48*Прайс!$E$75*0.5,IF(AND($Y48="Софт(TS)",$H48=2),$AI48*Прайс!$E$74*0.5,IF(AND($Y48="Матове покриття з патиною",$H48=2),$AI48*Прайс!$E$77*0.5,IF(AND($Y48="Глянцеве покриття з патиною",$H48=2),$AI48*Прайс!$E$78*0.5,IF(AND($Y48="Матовий DECAPE",$H48=2),$AI48*Прайс!$E$79*0.5,IF(AND($Y48="Глянцевий DECAPE",$H48=2),$AI48*Прайс!$E$80*0.5,0)))))))+IF(AND($S48=1,OR($H48=1,$H48=0),$Y48=Прайс!$C$89),$AI48*[1]Прайс!$D$74*0.5,IF(AND($S48=1,OR($H48=1,$H48=0),$Y48=Прайс!$C$90),$AI48*Прайс!$D$90*0.5,IF(AND($S48=1,OR($H48=1,$H48=0),$Y48=Прайс!$C$91),$AI48*Прайс!$D$91*0.5,IF(AND($S48=1,OR($H48=1,$H48=0),$Y48=Прайс!$C$92),$AI48*Прайс!$D$92*0.5,0))))+IF(AND($S48=1,$H48=2,$Y48=Прайс!$C$89),$AI48*Прайс!$E$89*0.5,IF(AND($S48=1,$H48=2,$Y48=Прайс!$C$90),$AI48*Прайс!$E$90*0.5,IF(AND($S48=1,$H48=2,$Y48=Прайс!$C$91),$AI48*Прайс!$E$91*0.5,IF(AND($S48=1,$H48=2,$Y48=Прайс!$C$92),$AI48*Прайс!$E$92*0.5,0)))))</f>
        <v>0</v>
      </c>
      <c r="AC48" s="197" t="str">
        <f>IF(Бланк!AD65="","",Бланк!AD65*E48)</f>
        <v/>
      </c>
      <c r="AD48" s="195">
        <f>IF(OR($AC48=0,$AC48=""),0,$AC48*Прайс!$D$111)</f>
        <v>0</v>
      </c>
      <c r="AE48" s="197" t="str">
        <f>IF(Бланк!AE65="","",Бланк!AE65)</f>
        <v/>
      </c>
      <c r="AF48" s="197" t="str">
        <f>IF(Бланк!AF65="","",Бланк!AF65)</f>
        <v/>
      </c>
      <c r="AG48" s="197" t="str">
        <f>IF(Бланк!AG65="","",Бланк!AG65)</f>
        <v/>
      </c>
      <c r="AH48" s="197" t="str">
        <f>IF(Бланк!AH65="","",Бланк!AH65)</f>
        <v/>
      </c>
      <c r="AI48" s="139">
        <f>IF(Бланк!$AI65="","",Бланк!$AI65)</f>
        <v>0</v>
      </c>
      <c r="AJ48" s="198"/>
      <c r="AK48" s="198"/>
      <c r="AL48" s="198"/>
      <c r="AM48" s="199"/>
      <c r="AN48" s="199"/>
      <c r="AO48" s="199"/>
      <c r="AP48" s="199"/>
      <c r="AQ48" s="200"/>
      <c r="AR48" s="190"/>
    </row>
    <row r="49" spans="2:44" ht="15.75" x14ac:dyDescent="0.25">
      <c r="B49" s="203" t="s">
        <v>6</v>
      </c>
      <c r="C49" s="144">
        <f>SUMPRODUCT(C4:C48)</f>
        <v>0</v>
      </c>
      <c r="D49" s="144">
        <f>SUMPRODUCT(D4:D48)</f>
        <v>0</v>
      </c>
      <c r="E49" s="144">
        <f>SUM(E4:E48)</f>
        <v>0</v>
      </c>
      <c r="F49" s="144"/>
      <c r="G49" s="144"/>
      <c r="H49" s="144"/>
      <c r="I49" s="144"/>
      <c r="J49" s="204">
        <f ca="1">SUMIF($J$21:$J$65,"**",$E$21:$E$65)</f>
        <v>0</v>
      </c>
      <c r="K49" s="204"/>
      <c r="L49" s="205">
        <f ca="1">SUMPRODUCT($E$21:$E$65,$L$21:$L$65)/1000</f>
        <v>0</v>
      </c>
      <c r="M49" s="204">
        <f ca="1">SUMIF($M$21:$M$65,"**",$E$21:$E$65)</f>
        <v>0</v>
      </c>
      <c r="N49" s="204"/>
      <c r="O49" s="204"/>
      <c r="P49" s="204"/>
      <c r="Q49" s="204"/>
      <c r="R49" s="204"/>
      <c r="S49" s="206"/>
      <c r="T49" s="206"/>
      <c r="U49" s="206"/>
      <c r="V49" s="206"/>
      <c r="W49" s="206"/>
      <c r="X49" s="144"/>
      <c r="Y49" s="144"/>
      <c r="Z49" s="144"/>
      <c r="AA49" s="144"/>
      <c r="AB49" s="144"/>
      <c r="AC49" s="144">
        <f>SUMPRODUCT($E$21:$E$65,$AM$21:$AM$65)</f>
        <v>0</v>
      </c>
      <c r="AD49" s="144"/>
      <c r="AE49" s="144"/>
      <c r="AF49" s="144"/>
      <c r="AG49" s="144"/>
      <c r="AH49" s="204"/>
      <c r="AI49" s="139">
        <f>IF(Бланк!$AI66="","",Бланк!$AI66)</f>
        <v>0</v>
      </c>
      <c r="AJ49" s="144"/>
      <c r="AK49" s="144"/>
      <c r="AL49" s="144"/>
      <c r="AM49" s="144"/>
      <c r="AN49" s="144"/>
      <c r="AO49" s="144"/>
      <c r="AP49" s="204"/>
      <c r="AQ49" s="140"/>
    </row>
    <row r="50" spans="2:44" s="202" customFormat="1" ht="20.25" x14ac:dyDescent="0.3">
      <c r="B50" s="207"/>
      <c r="C50" s="204"/>
      <c r="D50" s="204"/>
      <c r="E50" s="204"/>
      <c r="F50" s="204"/>
      <c r="G50" s="204"/>
      <c r="H50" s="204"/>
      <c r="I50" s="204"/>
      <c r="J50" s="204"/>
      <c r="K50" s="204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8"/>
      <c r="Z50" s="208"/>
      <c r="AA50" s="208"/>
      <c r="AB50" s="208"/>
      <c r="AC50" s="208"/>
      <c r="AD50" s="208"/>
      <c r="AE50" s="208"/>
      <c r="AF50" s="208"/>
      <c r="AG50" s="208"/>
      <c r="AH50" s="204"/>
      <c r="AI50" s="139">
        <f>IF(Бланк!$AI67="","",Бланк!$AI67)</f>
        <v>0</v>
      </c>
      <c r="AJ50" s="208"/>
      <c r="AK50" s="208"/>
      <c r="AL50" s="208"/>
      <c r="AM50" s="208"/>
      <c r="AN50" s="208"/>
      <c r="AO50" s="208"/>
      <c r="AP50" s="204"/>
      <c r="AQ50" s="209"/>
    </row>
    <row r="51" spans="2:44" s="202" customFormat="1" ht="20.25" x14ac:dyDescent="0.3">
      <c r="B51" s="208"/>
      <c r="C51" s="204"/>
      <c r="D51" s="208"/>
      <c r="E51" s="206"/>
      <c r="F51" s="206"/>
      <c r="G51" s="206"/>
      <c r="H51" s="206"/>
      <c r="I51" s="206"/>
      <c r="J51" s="206"/>
      <c r="K51" s="206"/>
      <c r="L51" s="206"/>
      <c r="M51" s="210"/>
      <c r="N51" s="210"/>
      <c r="O51" s="210"/>
      <c r="P51" s="210"/>
      <c r="Q51" s="206"/>
      <c r="R51" s="210"/>
      <c r="S51" s="206"/>
      <c r="T51" s="206"/>
      <c r="U51" s="206"/>
      <c r="V51" s="206"/>
      <c r="W51" s="206"/>
      <c r="X51" s="206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139">
        <f>IF(Бланк!$AI68="","",Бланк!$AI68)</f>
        <v>0</v>
      </c>
      <c r="AJ51" s="204"/>
      <c r="AK51" s="204"/>
      <c r="AL51" s="204"/>
      <c r="AM51" s="204"/>
      <c r="AN51" s="204"/>
      <c r="AO51" s="204"/>
      <c r="AP51" s="204"/>
      <c r="AQ51" s="141"/>
    </row>
    <row r="52" spans="2:44" s="202" customFormat="1" ht="20.25" x14ac:dyDescent="0.3">
      <c r="B52" s="210"/>
      <c r="C52" s="204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206"/>
      <c r="AD52" s="206"/>
      <c r="AE52" s="206"/>
      <c r="AF52" s="206"/>
      <c r="AG52" s="204"/>
      <c r="AH52" s="204"/>
      <c r="AI52" s="204"/>
      <c r="AJ52" s="204"/>
      <c r="AK52" s="204"/>
      <c r="AL52" s="204"/>
      <c r="AM52" s="204"/>
      <c r="AN52" s="204"/>
      <c r="AO52" s="204"/>
      <c r="AP52" s="204"/>
      <c r="AQ52" s="211"/>
    </row>
    <row r="53" spans="2:44" s="208" customFormat="1" ht="15.75" x14ac:dyDescent="0.25">
      <c r="B53" s="212" t="s">
        <v>182</v>
      </c>
      <c r="C53" s="212"/>
      <c r="D53" s="212"/>
      <c r="E53" s="212"/>
      <c r="F53" s="212"/>
      <c r="G53" s="212"/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212"/>
      <c r="AD53" s="212"/>
      <c r="AE53" s="212"/>
      <c r="AF53" s="212"/>
      <c r="AG53" s="212"/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</row>
    <row r="54" spans="2:44" x14ac:dyDescent="0.2"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89"/>
      <c r="R54" s="164"/>
      <c r="S54" s="189"/>
      <c r="T54" s="164"/>
      <c r="U54" s="164"/>
      <c r="V54" s="164"/>
      <c r="W54" s="164"/>
      <c r="X54" s="189"/>
      <c r="Y54" s="189"/>
      <c r="Z54" s="189"/>
      <c r="AA54" s="189"/>
      <c r="AB54" s="189"/>
      <c r="AC54" s="164"/>
      <c r="AD54" s="164"/>
      <c r="AE54" s="164"/>
      <c r="AF54" s="164"/>
      <c r="AG54" s="164"/>
      <c r="AH54" s="164"/>
      <c r="AI54" s="164"/>
      <c r="AJ54" s="164"/>
      <c r="AK54" s="189"/>
      <c r="AL54" s="189"/>
      <c r="AM54" s="164"/>
      <c r="AN54" s="164"/>
      <c r="AO54" s="164"/>
      <c r="AP54" s="164"/>
      <c r="AQ54" s="164"/>
    </row>
    <row r="55" spans="2:44" s="202" customFormat="1" ht="33" customHeight="1" x14ac:dyDescent="0.3">
      <c r="B55" s="213" t="s">
        <v>3</v>
      </c>
      <c r="C55" s="213" t="s">
        <v>77</v>
      </c>
      <c r="D55" s="213" t="s">
        <v>79</v>
      </c>
      <c r="E55" s="213" t="s">
        <v>78</v>
      </c>
      <c r="F55" s="213" t="s">
        <v>80</v>
      </c>
      <c r="G55" s="213" t="s">
        <v>316</v>
      </c>
      <c r="H55" s="213"/>
      <c r="I55" s="213" t="s">
        <v>86</v>
      </c>
      <c r="J55" s="380" t="s">
        <v>349</v>
      </c>
      <c r="K55" s="381"/>
      <c r="L55" s="380" t="s">
        <v>81</v>
      </c>
      <c r="M55" s="381"/>
      <c r="N55" s="185" t="s">
        <v>371</v>
      </c>
      <c r="O55" s="185" t="s">
        <v>372</v>
      </c>
      <c r="P55" s="380" t="s">
        <v>341</v>
      </c>
      <c r="Q55" s="381"/>
      <c r="R55" s="185" t="s">
        <v>341</v>
      </c>
      <c r="S55" s="214" t="s">
        <v>323</v>
      </c>
      <c r="T55" s="379" t="s">
        <v>82</v>
      </c>
      <c r="U55" s="379"/>
      <c r="V55" s="213" t="s">
        <v>83</v>
      </c>
      <c r="W55" s="213" t="s">
        <v>317</v>
      </c>
      <c r="X55" s="213" t="s">
        <v>87</v>
      </c>
      <c r="Y55" s="215" t="s">
        <v>84</v>
      </c>
      <c r="Z55" s="188" t="s">
        <v>373</v>
      </c>
      <c r="AA55" s="188" t="s">
        <v>374</v>
      </c>
      <c r="AB55" s="188" t="s">
        <v>375</v>
      </c>
      <c r="AC55" s="380" t="s">
        <v>347</v>
      </c>
      <c r="AD55" s="381"/>
      <c r="AE55" s="215" t="s">
        <v>348</v>
      </c>
      <c r="AF55" s="380" t="s">
        <v>205</v>
      </c>
      <c r="AG55" s="381"/>
      <c r="AH55" s="213" t="s">
        <v>76</v>
      </c>
      <c r="AI55" s="214" t="s">
        <v>85</v>
      </c>
      <c r="AJ55" s="198"/>
      <c r="AK55" s="199"/>
      <c r="AL55" s="198"/>
      <c r="AM55" s="216"/>
      <c r="AN55" s="216"/>
      <c r="AO55" s="216"/>
      <c r="AP55" s="216"/>
      <c r="AQ55" s="200"/>
    </row>
    <row r="56" spans="2:44" s="202" customFormat="1" ht="79.5" customHeight="1" x14ac:dyDescent="0.3">
      <c r="B56" s="217">
        <v>1</v>
      </c>
      <c r="C56" s="192" t="str">
        <f>IF(Бланк!$C72="","",Бланк!$C72/1000)</f>
        <v/>
      </c>
      <c r="D56" s="192" t="str">
        <f>IF(Бланк!$D72="","",Бланк!$D72/1000)</f>
        <v/>
      </c>
      <c r="E56" s="192" t="str">
        <f>IF(Бланк!$E72="","",Бланк!$E72)</f>
        <v/>
      </c>
      <c r="F56" s="192" t="str">
        <f>IF(Бланк!$F72="","",Бланк!$F72)</f>
        <v/>
      </c>
      <c r="G56" s="192" t="str">
        <f>IF(Бланк!$G72="","",Бланк!$G72)</f>
        <v/>
      </c>
      <c r="H56" s="193" t="str">
        <f>IF($G56="","",VLOOKUP($G56,Наименование!$M$42:$N$95,2,FALSE))</f>
        <v/>
      </c>
      <c r="I56" s="192" t="str">
        <f>IF(Бланк!$H72="","",Бланк!$H72)</f>
        <v/>
      </c>
      <c r="J56" s="218" t="str">
        <f>IF(Бланк!$I72="","",Бланк!$I72)</f>
        <v/>
      </c>
      <c r="K56" s="219" t="str">
        <f>IF($J56="","",Прайс!$D$108*Просчет!$E56)</f>
        <v/>
      </c>
      <c r="L56" s="220" t="str">
        <f>IF(Бланк!$J72="","",Бланк!$J72/1000)</f>
        <v/>
      </c>
      <c r="M56" s="220" t="str">
        <f>IF(Бланк!$K72="","",Бланк!$K72)</f>
        <v/>
      </c>
      <c r="N56" s="195">
        <f>IF($G56="гладкий",IF($M56="","",IF(OR($M56="J № 1",$M56="J № 2",$M56="J № 2L",$M56="J № 2R"),$L56*$E56,IF(OR($M56="J № 3L",$M56="J № 3R",$M56="J № 4L",$M56="J № 4R",$M56="J № 5L",$M56="J № 5R"),$L56/2*$E56,IF(M56="45 град.",$L56*$E56,0)))),0)</f>
        <v>0</v>
      </c>
      <c r="O56" s="221">
        <f>IF($G56="гладкий",IF($M56="","",IF(OR($M56="J № 1",$M56="J № 2",$M56="J № 2L",$M56="J № 2R"),$N56*Прайс!$D$45,IF(OR($M56="J № 3",$M56="J № 4",$M56="J № 5",$M56="J № 6",$M56="J № 7"),Прайс!$D$45*$E56,IF(OR($M56="J № 3L",$M56="J № 3R",$M56="J № 4L",$M56="J № 4R",$M56="J № 5L",$M56="J № 5R"),$N56/2*Прайс!$D$45,IF($M56="45 град.",$N56*Прайс!$D$42,0))))),0)</f>
        <v>0</v>
      </c>
      <c r="P56" s="220" t="str">
        <f>IF(Бланк!$L72="","",Бланк!$L72)</f>
        <v/>
      </c>
      <c r="Q56" s="220" t="str">
        <f>IF(Бланк!$M72="","",Бланк!$M72)</f>
        <v/>
      </c>
      <c r="R56" s="194">
        <f>IF($P56="",0,IF($Q56=$U56,0,IF($Q56="",0,IF(OR($G56=35,$G56=36,$G56=37,$G56=38),Прайс!$D$118*Бланк!E73,IF(AND($G56="гладкий",OR($M56="J № 1",$M56="J № 2",$M56="J № 2L",$M56="J № 2R")),$N56*Прайс!$D$59,0)))))</f>
        <v>0</v>
      </c>
      <c r="S56" s="220" t="str">
        <f>IF(OR(Бланк!$O72=0,Бланк!$O72=""),"",1)</f>
        <v/>
      </c>
      <c r="T56" s="220" t="str">
        <f>IF(Бланк!$R72="","",Бланк!$R72)</f>
        <v/>
      </c>
      <c r="U56" s="220" t="str">
        <f>IF(Бланк!$S72="","",Бланк!$S72)</f>
        <v/>
      </c>
      <c r="V56" s="220" t="str">
        <f>IF(Бланк!$T72="","",Бланк!$T72)</f>
        <v/>
      </c>
      <c r="W56" s="222" t="str">
        <f>IF(Бланк!$W72="","",Бланк!$W72)</f>
        <v/>
      </c>
      <c r="X56" s="223" t="str">
        <f>IF(Бланк!AB72="","",Бланк!AB72)</f>
        <v/>
      </c>
      <c r="Y56" s="223" t="str">
        <f>IF(Бланк!AC72="","",Бланк!AC72)</f>
        <v/>
      </c>
      <c r="Z56" s="221">
        <f>IF($G56="Гладкий",IF(OR($C56=0,$C56=""),0,IF(AND(OR($V56="Перли",$V56="Металік",$V56="Перл.зол.",$V56="Перл.ср.",$V56="Перл.зол.",$V56="Зор.н.ср.",$V56="Зор.н.зол.",$V56="Зор.н.різн.",$V56="Гума"),$F56=16),$AI56*Прайс!$F$12,IF(AND(OR($V56="",$V56=0),$X56="Матове",$F56=16),$AI56*Прайс!$F$10,IF(AND(OR($V56="",$V56=0),$X56="Глянець",$F56=16),$AI56*Прайс!$F$11,IF(AND(OR($V56="",$V56=0),$X56="Софт(TS)",$F56=16),$AI56*Прайс!#REF!,0))))),0)+IF($G56="Гладкий",0,IF(AND(OR($V56="Перли",$V56="Металік",$V56="Перл.зол.",$V56="Перл.ср.",$V56="Перл.зол.",$V56="Зор.н.ср.",$V56="Зор.н.зол.",$V56="Зор.н.різн.",$V56="Гума"),$F56=16,$H56=1),$AI56*Прайс!$H$76,IF(AND(OR($V56="",$V56=0),$X56="Матове",$F56=16,$H56=1),$AI56*Прайс!$H$73,IF(AND(OR($V56="",$V56=0),$X56="Глянець",$F56=16,$H56=1),$AI56*Прайс!$H$75,IF(AND(OR($V56="",$V56=0),$X56="Софт(TS)",$F56=16,$H56=1),$AI56*Прайс!$H$74,IF(AND(OR($V56="",$V56=0),$X56="Матове покриття з патиною",$F56=16,$H56=1),$AI56*Прайс!$H$77,IF(AND(OR($V56="",$V56=0),$X56="Глянцеве покриття з патиною",$F56=16,$H56=1),$AI56*Прайс!$H$78,IF(AND(OR($V56="",$V56=0),$X56="Матовий DECAPE",$F56=16,$H56=1),$AI56*Прайс!$H$79,IF(AND(OR($V56="",$V56=0),$X56="Глянцевий DECAPE",$F56=16,$H56=1),$AI56*Прайс!$H$80,0))))))))+IF($G56="Гладкий",0,IF(AND(OR($V56="Перли",$V56="Металік",$V56="Перл.зол.",$V56="Перл.ср.",$V56="Перл.зол.",$V56="Зор.н.ср.",$V56="Зор.н.зол.",$V56="Зор.н.різн.",$V56="Гума"),$F56=16,$H56=2),$AI56*Прайс!$I$76,IF(AND(OR($V56="",$V56=0),$X56="Матове",$F56=16,$H56=2),$AI56*Прайс!$I$73,IF(AND(OR($V56="",$V56=0),$X56="Глянець",$F56=16,$H56=2),$AI56*Прайс!$I$75,IF(AND(OR($V56="",$V56=0),$X56="Софт(TS)",$F56=16,$H56=2),$AI56*Прайс!$I$74,IF(AND(OR($V56="",$V56=0),$X56="Матове покриття з патиною",$F56=16,$H56=2),$AI56*Прайс!$I$77,IF(AND(OR($V56="",$V56=0),$X56="Глянцеве покриття з патиною",$F56=16,$H56=2),$AI56*Прайс!$I$78,IF(AND(OR($V56="",$V56=0),$X56="Матовий DECAPE",$F56=16,$H56=2),$AI56*Прайс!$I$79,IF(AND(OR($V56="",$V56=0),$X56="Глянцевий DECAPE",$F56=16,$H56=2),$AI56*Прайс!$I$80,0))))))))+IF(AND($S56=1,OR($H56=1,$H56=0),$X56=Прайс!$C$89,$F56=16),Просчет!$AI56*Прайс!$H$89,IF(AND($S56=1,OR($H56=1,$H56=0),$X56=Прайс!$C$90,$F56=16),Просчет!$AI56*Прайс!$H$90,IF(AND($S56=1,OR($H56=1,$H56=0),$X56=Прайс!$C$91,$F56=16),Просчет!$AI56*Прайс!$H$91,IF(AND($S56=1,OR($H56=1,$H56=0),$X56=Прайс!$C$92,$F56=16),Просчет!$AI56*Прайс!$H$92,0))))+IF(AND($S56=1,$H56=2,$X56=Прайс!$C$89,$F56=16),Просчет!$AI56*Прайс!$I$89,IF(AND($S56=1,$H56=2,$X56=Прайс!$C$90,$F56=16),Просчет!$AI56*Прайс!$I$90,IF(AND($S56=1,$H56=2,$X56=Прайс!$C$91,$F56=16),Просчет!$AI56*Прайс!$I$91,IF(AND($S56=1,$H56=2,$X56=Прайс!$C$92,$F56=16),Просчет!$AI56*Прайс!$I$92,0))))))</f>
        <v>0</v>
      </c>
      <c r="AA56" s="195">
        <f>IF($G56="Гладкий",IF(OR($C56=0,$C56=""),0,IF(AND(OR($V56="Перли",$V56="Металік",$V56="Перл.зол.",$V56="Перл.ср.",$V56="Перл.зол.",$V56="Зор.н.ср.",$V56="Зор.н.зол.",$V56="Зор.н.різн.",$V56="Гума"),$F56=19),$AI56*Прайс!$G$12,IF(AND(OR($V56="",$V56=0),$X56="Матове",$F56=19),$AI56*Прайс!$G$10,IF(AND(OR($V56="",$V56=0),$X56="Глянець",$F56=19),$AI56*Прайс!$G$11,IF(AND(OR($V56="",$V56=0),$X56="Софт(TS)",$F56=19),$AI56*Прайс!#REF!,0))))),0)+IF($G56="Гладкий",0,IF(AND(OR($V56="Перли",$V56="Металік",$V56="Перл.зол.",$V56="Перл.ср.",$V56="Перл.зол.",$V56="Зор.н.ср.",$V56="Зор.н.зол.",$V56="Зор.н.різн.",$V56="Гума"),$F56=19,$G56=1),$AI56*Прайс!$J$76,IF(AND(OR($V56="",$V56=0),$X56="Матове",$F56=19,$G56=1),$AI56*Прайс!$J$73,IF(AND(OR($V56="",$V56=0),$X56="Глянець",$F56=19,$G56=1),$AI56*Прайс!$J$75,IF(AND(OR($V56="",$V56=0),$X56="Софт(TS)",$F56=19,$G56=1),$AI56*Прайс!$J$74,IF(AND(OR($V56="",$V56=0),$X56="Матове покриття з патиною",$F56=19,$G56=1),$AI56*Прайс!$J$77,IF(AND(OR($V56="",$V56=0),$X56="Глянцеве покриття з патиною",$F56=19,$G56=1),$AI56*Прайс!$J$78,IF(AND(OR($V56="",$V56=0),$X56="Матовий DECAPE",$F56=19,$G56=1),$AI56*Прайс!$J$79,IF(AND(OR($V56="",$V56=0),$X56="Глянцевий DECAPE",$F56=19,$G56=1),$AI56*Прайс!$J$80,0)))))))))+IF($G56="Гладкий",0,IF(AND(OR($V56="Перли",$V56="Металік",$V56="Перл.зол.",$V56="Перл.ср.",$V56="Перл.зол.",$V56="Зор.н.ср.",$V56="Зор.н.зол.",$V56="Зор.н.різн.",$V56="Гума"),$F56=19,$G56=2),$AI56*Прайс!$K$76,IF(AND(OR($V56="",$V56=0),$X56="Матове",$F56=19,$G56=2),$AI56*Прайс!$K$73,IF(AND(OR($V56="",$V56=0),$X56="Глянець",$F56=19,$G56=2),$AI56*Прайс!$K$75,IF(AND(OR($V56="",$V56=0),$X56="Софт(TS)",$F56=19,$G56=2),$AI56*Прайс!$K$74,IF(AND(OR($V56="",$V56=0),$X56="Матове покриття з патиною",$F56=19,$G56=2),$AI56*Прайс!$K$77,IF(AND(OR($V56="",$V56=0),$X56="Глянцеве покриття з патиною",$F56=19,$G56=2),$AI56*Прайс!$K$78,IF(AND(OR($V56="",$V56=0),$X56="Матовий DECAPE",$F56=19,$G56=2),$AI56*Прайс!$K$79,IF(AND(OR($V56="",$V56=0),$X56="Глянцевий DECAPE",$F56=19,$G56=2),$AI56*Прайс!$K$80,0)))))))))+IF(AND($S56=1,OR($G56=1,$G56=0),$X56=Прайс!$C$89,$F56=19),$AI56*Прайс!$J$89,IF(AND($S56=1,OR($G56=1,$H56=0),$X56=Прайс!$C$90,$F56=19),$AI56*Прайс!$J$90,IF(AND($S56=1,OR($H56=1,$H56=0),$X56=Прайс!$C$91,$F56=19),$AI56*Прайс!$J$91,IF(AND($S56=1,OR($H56=1,$H56=0),$X56=Прайс!$C$92,$F56=19),$AI56*Прайс!$J$92,0))))+IF(OR($V56="",$V56=0),IF(AND($S56=1,$H56=2,$X56=Прайс!$C$89,$F56=19),$AI56*Прайс!$K$89,IF(AND($S56=1,$H56=2,$X56=Прайс!$C$90,$F56=19),$AI56*Прайс!$K$90,IF(AND($S56=1,$H56=2,$X56=Прайс!$C$91,$F56=19),$AI56*Прайс!$K$91,IF(AND($S56=1,$H56=2,$X56=Прайс!$C$92,$F56=19),$AI56*Прайс!$K$92,0)))))</f>
        <v>0</v>
      </c>
      <c r="AB56" s="195">
        <f>IF($G56="Гладкий",IF(OR($C56=0,$C56=""),0,IF($Y56="Матове",$AI56*(Прайс!$F$10-500),IF($Y56="Глянець",$AI56*(Прайс!$F$11-500),IF($Y56="Софт(TS)",$AI56*(Прайс!#REF!-500),0)))),0)+IF($G56="Гладкий",0,IF(AND($Y56="Матове",$H56=1),$AI56*Прайс!$H$73*0.5,IF(AND($Y56="Глянець",$H56=1),$AI56*Прайс!$H$75*0.5,IF(AND($Y56="Софт(TS)",$H56=1),$AI56*Прайс!$H$74*0.5,IF(AND($Y56="Матове покриття з патиною",$H56=1),$AI56*Прайс!$H$77*0.5,IF(AND($Y56="Глянцеве покриття з патиною",$H56=1),$AI56*Прайс!$H$77*0.5,IF(AND($Y56="Матовий DECAPE",$H56=1),$AI56*Прайс!$H$79*0.5,IF(AND($Y56="Глянцевий DECAPE",$H56=1),$AI56*Прайс!$H$80*0.5,0))))))))+IF($G56="Гладкий",0,IF(AND($Y56="Матове",$H56=2),$AI56*Прайс!$I$73*0.5,IF(AND($Y56="Глянець",$H56=2),$AI56*Прайс!$I$75*0.5,IF(AND($Y56="Софт(TS)",$H56=2),$AI56*Прайс!$I$74*0.5,IF(AND($Y56="Матове покриття з патиною",$H56=2),$AI56*Прайс!$I$77*0.5,IF(AND($Y56="Глянцеве покриття з патиною",$H56=2),$AI56*Прайс!$I$78*0.5,IF(AND($Y56="Матовий DECAPE",$H56=2),$AI56*Прайс!$I$79*0.5,IF(AND($Y56="Глянцевий DECAPE",$H56=2),$AI56*Прайс!$I$80*0.5,0))))))))+IF(AND($S56=1,OR($H56=1,$H56=0),$Y56=Прайс!$C$89),$AI56*Прайс!$H$89*0.5,IF(AND($S56=1,OR($H56=1,$H56=0),$Y56=Прайс!$C$90),$AI56*Прайс!$H$90*0.5,IF(AND($S56=1,OR($H56=1,$H56=0),$Y56=Прайс!$C$91),$AI56*Прайс!$H$91*0.5,IF(AND($S56=1,OR($H56=1,$H56=0),$Y56=Прайс!$C$92),$AI56*Прайс!$H$92*0.5,0))))+IF(AND($S56=1,$H56=2,$Y56=Прайс!$C$89),$AI56*Прайс!$I$89*0.5,IF(AND($S56=1,$H56=2,$Y56=Прайс!$C$90),$AI56*Прайс!$I$90*0.5,IF(AND($S56=1,$H56=2,$Y56=Прайс!$C$91),$AI56*Прайс!$I$91*0.5,IF(AND($S56=1,$H56=2,$Y56=Прайс!$C$92),$AI56*Прайс!$I$92*0.5,0))))</f>
        <v>0</v>
      </c>
      <c r="AC56" s="223" t="str">
        <f>IF(Бланк!AD72="","",Бланк!AD72)</f>
        <v/>
      </c>
      <c r="AD56" s="195">
        <f>IF(OR($AC56=0,$AC56=""),0,$AC56*Прайс!$D$111)</f>
        <v>0</v>
      </c>
      <c r="AE56" s="197" t="str">
        <f>IF(Бланк!AE72="","",Бланк!AE72)</f>
        <v/>
      </c>
      <c r="AF56" s="197" t="str">
        <f>IF(Бланк!AF72="","",Бланк!AF72)</f>
        <v/>
      </c>
      <c r="AG56" s="197" t="str">
        <f>IF(Бланк!AG72="","",Бланк!AG72)</f>
        <v/>
      </c>
      <c r="AH56" s="197" t="str">
        <f>IF(Бланк!AH72="","",Бланк!AH72)</f>
        <v/>
      </c>
      <c r="AI56" s="142" t="e">
        <f>$C56*D$56*$E56*3.14/2</f>
        <v>#VALUE!</v>
      </c>
      <c r="AJ56" s="198"/>
      <c r="AK56" s="199"/>
      <c r="AL56" s="198"/>
      <c r="AM56" s="216"/>
      <c r="AN56" s="216"/>
      <c r="AO56" s="216"/>
      <c r="AP56" s="216"/>
      <c r="AQ56" s="200"/>
    </row>
    <row r="57" spans="2:44" s="202" customFormat="1" ht="77.25" customHeight="1" x14ac:dyDescent="0.3">
      <c r="B57" s="201">
        <v>2</v>
      </c>
      <c r="C57" s="192" t="str">
        <f>IF(Бланк!$C73="","",Бланк!$C73/1000)</f>
        <v/>
      </c>
      <c r="D57" s="192" t="str">
        <f>IF(Бланк!$D73="","",Бланк!$D73/1000)</f>
        <v/>
      </c>
      <c r="E57" s="192" t="str">
        <f>IF(Бланк!$E73="","",Бланк!$E73)</f>
        <v/>
      </c>
      <c r="F57" s="192" t="str">
        <f>IF(Бланк!$F73="","",Бланк!$F73)</f>
        <v/>
      </c>
      <c r="G57" s="192" t="str">
        <f>IF(Бланк!$G73="","",Бланк!$G73)</f>
        <v/>
      </c>
      <c r="H57" s="193" t="str">
        <f>IF($G57="","",VLOOKUP($G57,Наименование!$M$42:$N$95,2,FALSE))</f>
        <v/>
      </c>
      <c r="I57" s="192" t="str">
        <f>IF(Бланк!$H73="","",Бланк!$H73)</f>
        <v/>
      </c>
      <c r="J57" s="218" t="str">
        <f>IF(Бланк!$I73="","",Бланк!$I73)</f>
        <v/>
      </c>
      <c r="K57" s="219" t="str">
        <f>IF($J57="","",Прайс!$D$108*Просчет!$E57)</f>
        <v/>
      </c>
      <c r="L57" s="220" t="str">
        <f>IF(Бланк!$J73="","",Бланк!$J73/1000)</f>
        <v/>
      </c>
      <c r="M57" s="220" t="str">
        <f>IF(Бланк!$K73="","",Бланк!$K73)</f>
        <v/>
      </c>
      <c r="N57" s="195">
        <f t="shared" ref="N57:N60" si="1">IF($G57="гладкий",IF($M57="","",IF(OR($M57="J № 1",$M57="J № 2",$M57="J № 2L",$M57="J № 2R"),$L57*$E57,IF(OR($M57="J № 3L",$M57="J № 3R",$M57="J № 4L",$M57="J № 4R",$M57="J № 5L",$M57="J № 5R"),$L57/2*$E57,IF(M57="45 град.",$L57*$E57,0)))),0)</f>
        <v>0</v>
      </c>
      <c r="O57" s="221">
        <f>IF($G57="гладкий",IF($M57="","",IF(OR($M57="J № 1",$M57="J № 2",$M57="J № 2L",$M57="J № 2R"),$N57*Прайс!$D$45,IF(OR($M57="J № 3",$M57="J № 4",$M57="J № 5",$M57="J № 6",$M57="J № 7"),Прайс!$D$45*$E57,IF(OR($M57="J № 3L",$M57="J № 3R",$M57="J № 4L",$M57="J № 4R",$M57="J № 5L",$M57="J № 5R"),$N57/2*Прайс!$D$45,IF($M57="45 град.",$N57*Прайс!$D$42,0))))),0)</f>
        <v>0</v>
      </c>
      <c r="P57" s="220" t="str">
        <f>IF(Бланк!$L73="","",Бланк!$L73)</f>
        <v/>
      </c>
      <c r="Q57" s="220" t="str">
        <f>IF(Бланк!$M73="","",Бланк!$M73)</f>
        <v/>
      </c>
      <c r="R57" s="194">
        <f>IF($P57="",0,IF($Q57=$U57,0,IF($Q57="",0,IF(OR($G57=35,$G57=36,$G57=37,$G57=38),Прайс!$D$118*Бланк!E74,IF(AND($G57="гладкий",OR($M57="J № 1",$M57="J № 2",$M57="J № 2L",$M57="J № 2R")),$N57*Прайс!$D$59,0)))))</f>
        <v>0</v>
      </c>
      <c r="S57" s="220" t="str">
        <f>IF(OR(Бланк!$O73=0,Бланк!$O73=""),"",1)</f>
        <v/>
      </c>
      <c r="T57" s="220" t="str">
        <f>IF(Бланк!$R73="","",Бланк!$R73)</f>
        <v/>
      </c>
      <c r="U57" s="220" t="str">
        <f>IF(Бланк!$S73="","",Бланк!$S73)</f>
        <v/>
      </c>
      <c r="V57" s="220" t="str">
        <f>IF(Бланк!$T73="","",Бланк!$T73)</f>
        <v/>
      </c>
      <c r="W57" s="222" t="str">
        <f>IF(Бланк!$W73="","",Бланк!$W73)</f>
        <v/>
      </c>
      <c r="X57" s="223" t="str">
        <f>IF(Бланк!AB73="","",Бланк!AB73)</f>
        <v/>
      </c>
      <c r="Y57" s="223" t="str">
        <f>IF(Бланк!AC73="","",Бланк!AC73)</f>
        <v/>
      </c>
      <c r="Z57" s="221">
        <f>IF($G57="Гладкий",IF(OR($C57=0,$C57=""),0,IF(AND(OR($V57="Перли",$V57="Металік",$V57="Перл.зол.",$V57="Перл.ср.",$V57="Перл.зол.",$V57="Зор.н.ср.",$V57="Зор.н.зол.",$V57="Зор.н.різн.",$V57="Гума"),$F57=16),$AI57*Прайс!$F$12,IF(AND(OR($V57="",$V57=0),$X57="Матове",$F57=16),$AI57*Прайс!$F$10,IF(AND(OR($V57="",$V57=0),$X57="Глянець",$F57=16),$AI57*Прайс!$F$11,IF(AND(OR($V57="",$V57=0),$X57="Софт(TS)",$F57=16),$AI57*Прайс!#REF!,0))))),0)+IF($G57="Гладкий",0,IF(AND(OR($V57="Перли",$V57="Металік",$V57="Перл.зол.",$V57="Перл.ср.",$V57="Перл.зол.",$V57="Зор.н.ср.",$V57="Зор.н.зол.",$V57="Зор.н.різн.",$V57="Гума"),$F57=16,$H57=1),$AI57*Прайс!$H$76,IF(AND(OR($V57="",$V57=0),$X57="Матове",$F57=16,$H57=1),$AI57*Прайс!$H$73,IF(AND(OR($V57="",$V57=0),$X57="Глянець",$F57=16,$H57=1),$AI57*Прайс!$H$75,IF(AND(OR($V57="",$V57=0),$X57="Софт(TS)",$F57=16,$H57=1),$AI57*Прайс!$H$74,IF(AND(OR($V57="",$V57=0),$X57="Матове покриття з патиною",$F57=16,$H57=1),$AI57*Прайс!$H$77,IF(AND(OR($V57="",$V57=0),$X57="Глянцеве покриття з патиною",$F57=16,$H57=1),$AI57*Прайс!$H$78,IF(AND(OR($V57="",$V57=0),$X57="Матовий DECAPE",$F57=16,$H57=1),$AI57*Прайс!$H$79,IF(AND(OR($V57="",$V57=0),$X57="Глянцевий DECAPE",$F57=16,$H57=1),$AI57*Прайс!$H$80,0))))))))+IF($G57="Гладкий",0,IF(AND(OR($V57="Перли",$V57="Металік",$V57="Перл.зол.",$V57="Перл.ср.",$V57="Перл.зол.",$V57="Зор.н.ср.",$V57="Зор.н.зол.",$V57="Зор.н.різн.",$V57="Гума"),$F57=16,$H57=2),$AI57*Прайс!$I$76,IF(AND(OR($V57="",$V57=0),$X57="Матове",$F57=16,$H57=2),$AI57*Прайс!$I$73,IF(AND(OR($V57="",$V57=0),$X57="Глянець",$F57=16,$H57=2),$AI57*Прайс!$I$75,IF(AND(OR($V57="",$V57=0),$X57="Софт(TS)",$F57=16,$H57=2),$AI57*Прайс!$I$74,IF(AND(OR($V57="",$V57=0),$X57="Матове покриття з патиною",$F57=16,$H57=2),$AI57*Прайс!$I$77,IF(AND(OR($V57="",$V57=0),$X57="Глянцеве покриття з патиною",$F57=16,$H57=2),$AI57*Прайс!$I$78,IF(AND(OR($V57="",$V57=0),$X57="Матовий DECAPE",$F57=16,$H57=2),$AI57*Прайс!$I$79,IF(AND(OR($V57="",$V57=0),$X57="Глянцевий DECAPE",$F57=16,$H57=2),$AI57*Прайс!$I$80,0))))))))+IF(AND($S57=1,OR($H57=1,$H57=0),$X57=Прайс!$C$89,$F57=16),Просчет!$AI57*Прайс!$H$89,IF(AND($S57=1,OR($H57=1,$H57=0),$X57=Прайс!$C$90,$F57=16),Просчет!$AI57*Прайс!$H$90,IF(AND($S57=1,OR($H57=1,$H57=0),$X57=Прайс!$C$91,$F57=16),Просчет!$AI57*Прайс!$H$91,IF(AND($S57=1,OR($H57=1,$H57=0),$X57=Прайс!$C$92,$F57=16),Просчет!$AI57*Прайс!$H$92,0))))+IF(AND($S57=1,$H57=2,$X57=Прайс!$C$89,$F57=16),Просчет!$AI57*Прайс!$I$89,IF(AND($S57=1,$H57=2,$X57=Прайс!$C$90,$F57=16),Просчет!$AI57*Прайс!$I$90,IF(AND($S57=1,$H57=2,$X57=Прайс!$C$91,$F57=16),Просчет!$AI57*Прайс!$I$91,IF(AND($S57=1,$H57=2,$X57=Прайс!$C$92,$F57=16),Просчет!$AI57*Прайс!$I$92,0))))))</f>
        <v>0</v>
      </c>
      <c r="AA57" s="195">
        <f>IF($G57="Гладкий",IF(OR($C57=0,$C57=""),0,IF(AND(OR($V57="Перли",$V57="Металік",$V57="Перл.зол.",$V57="Перл.ср.",$V57="Перл.зол.",$V57="Зор.н.ср.",$V57="Зор.н.зол.",$V57="Зор.н.різн.",$V57="Гума"),$F57=19),$AI57*Прайс!$G$12,IF(AND(OR($V57="",$V57=0),$X57="Матове",$F57=19),$AI57*Прайс!$G$10,IF(AND(OR($V57="",$V57=0),$X57="Глянець",$F57=19),$AI57*Прайс!$G$11,IF(AND(OR($V57="",$V57=0),$X57="Софт(TS)",$F57=19),$AI57*Прайс!#REF!,0))))),0)+IF($G57="Гладкий",0,IF(AND(OR($V57="Перли",$V57="Металік",$V57="Перл.зол.",$V57="Перл.ср.",$V57="Перл.зол.",$V57="Зор.н.ср.",$V57="Зор.н.зол.",$V57="Зор.н.різн.",$V57="Гума"),$F57=19,$G57=1),$AI57*Прайс!$J$76,IF(AND(OR($V57="",$V57=0),$X57="Матове",$F57=19,$G57=1),$AI57*Прайс!$J$73,IF(AND(OR($V57="",$V57=0),$X57="Глянець",$F57=19,$G57=1),$AI57*Прайс!$J$75,IF(AND(OR($V57="",$V57=0),$X57="Софт(TS)",$F57=19,$G57=1),$AI57*Прайс!$J$74,IF(AND(OR($V57="",$V57=0),$X57="Матове покриття з патиною",$F57=19,$G57=1),$AI57*Прайс!$J$77,IF(AND(OR($V57="",$V57=0),$X57="Глянцеве покриття з патиною",$F57=19,$G57=1),$AI57*Прайс!$J$78,IF(AND(OR($V57="",$V57=0),$X57="Матовий DECAPE",$F57=19,$G57=1),$AI57*Прайс!$J$79,IF(AND(OR($V57="",$V57=0),$X57="Глянцевий DECAPE",$F57=19,$G57=1),$AI57*Прайс!$J$80,0)))))))))+IF($G57="Гладкий",0,IF(AND(OR($V57="Перли",$V57="Металік",$V57="Перл.зол.",$V57="Перл.ср.",$V57="Перл.зол.",$V57="Зор.н.ср.",$V57="Зор.н.зол.",$V57="Зор.н.різн.",$V57="Гума"),$F57=19,$G57=2),$AI57*Прайс!$K$76,IF(AND(OR($V57="",$V57=0),$X57="Матове",$F57=19,$G57=2),$AI57*Прайс!$K$73,IF(AND(OR($V57="",$V57=0),$X57="Глянець",$F57=19,$G57=2),$AI57*Прайс!$K$75,IF(AND(OR($V57="",$V57=0),$X57="Софт(TS)",$F57=19,$G57=2),$AI57*Прайс!$K$74,IF(AND(OR($V57="",$V57=0),$X57="Матове покриття з патиною",$F57=19,$G57=2),$AI57*Прайс!$K$77,IF(AND(OR($V57="",$V57=0),$X57="Глянцеве покриття з патиною",$F57=19,$G57=2),$AI57*Прайс!$K$78,IF(AND(OR($V57="",$V57=0),$X57="Матовий DECAPE",$F57=19,$G57=2),$AI57*Прайс!$K$79,IF(AND(OR($V57="",$V57=0),$X57="Глянцевий DECAPE",$F57=19,$G57=2),$AI57*Прайс!$K$80,0)))))))))+IF(AND($S57=1,OR($G57=1,$G57=0),$X57=Прайс!$C$89,$F57=19),$AI57*Прайс!$J$89,IF(AND($S57=1,OR($G57=1,$H57=0),$X57=Прайс!$C$90,$F57=19),$AI57*Прайс!$J$90,IF(AND($S57=1,OR($H57=1,$H57=0),$X57=Прайс!$C$91,$F57=19),$AI57*Прайс!$J$91,IF(AND($S57=1,OR($H57=1,$H57=0),$X57=Прайс!$C$92,$F57=19),$AI57*Прайс!$J$92,0))))+IF(OR($V57="",$V57=0),IF(AND($S57=1,$H57=2,$X57=Прайс!$C$89,$F57=19),$AI57*Прайс!$K$89,IF(AND($S57=1,$H57=2,$X57=Прайс!$C$90,$F57=19),$AI57*Прайс!$K$90,IF(AND($S57=1,$H57=2,$X57=Прайс!$C$91,$F57=19),$AI57*Прайс!$K$91,IF(AND($S57=1,$H57=2,$X57=Прайс!$C$92,$F57=19),$AI57*Прайс!$K$92,0)))))</f>
        <v>0</v>
      </c>
      <c r="AB57" s="195">
        <f>IF($G57="Гладкий",IF(OR($C57=0,$C57=""),0,IF($Y57="Матове",$AI57*(Прайс!$F$10-500),IF($Y57="Глянець",$AI57*(Прайс!$F$11-500),IF($Y57="Софт(TS)",$AI57*(Прайс!#REF!-500),0)))),0)+IF($G57="Гладкий",0,IF(AND($Y57="Матове",$H57=1),$AI57*Прайс!$H$73*0.5,IF(AND($Y57="Глянець",$H57=1),$AI57*Прайс!$H$75*0.5,IF(AND($Y57="Софт(TS)",$H57=1),$AI57*Прайс!$H$74*0.5,IF(AND($Y57="Матове покриття з патиною",$H57=1),$AI57*Прайс!$H$77*0.5,IF(AND($Y57="Глянцеве покриття з патиною",$H57=1),$AI57*Прайс!$H$77*0.5,IF(AND($Y57="Матовий DECAPE",$H57=1),$AI57*Прайс!$H$79*0.5,IF(AND($Y57="Глянцевий DECAPE",$H57=1),$AI57*Прайс!$H$80*0.5,0))))))))+IF($G57="Гладкий",0,IF(AND($Y57="Матове",$H57=2),$AI57*Прайс!$I$73*0.5,IF(AND($Y57="Глянець",$H57=2),$AI57*Прайс!$I$75*0.5,IF(AND($Y57="Софт(TS)",$H57=2),$AI57*Прайс!$I$74*0.5,IF(AND($Y57="Матове покриття з патиною",$H57=2),$AI57*Прайс!$I$77*0.5,IF(AND($Y57="Глянцеве покриття з патиною",$H57=2),$AI57*Прайс!$I$78*0.5,IF(AND($Y57="Матовий DECAPE",$H57=2),$AI57*Прайс!$I$79*0.5,IF(AND($Y57="Глянцевий DECAPE",$H57=2),$AI57*Прайс!$I$80*0.5,0))))))))+IF(AND($S57=1,OR($H57=1,$H57=0),$Y57=Прайс!$C$89),$AI57*Прайс!$H$89*0.5,IF(AND($S57=1,OR($H57=1,$H57=0),$Y57=Прайс!$C$90),$AI57*Прайс!$H$90*0.5,IF(AND($S57=1,OR($H57=1,$H57=0),$Y57=Прайс!$C$91),$AI57*Прайс!$H$91*0.5,IF(AND($S57=1,OR($H57=1,$H57=0),$Y57=Прайс!$C$92),$AI57*Прайс!$H$92*0.5,0))))+IF(AND($S57=1,$H57=2,$Y57=Прайс!$C$89),$AI57*Прайс!$I$89*0.5,IF(AND($S57=1,$H57=2,$Y57=Прайс!$C$90),$AI57*Прайс!$I$90*0.5,IF(AND($S57=1,$H57=2,$Y57=Прайс!$C$91),$AI57*Прайс!$I$91*0.5,IF(AND($S57=1,$H57=2,$Y57=Прайс!$C$92),$AI57*Прайс!$I$92*0.5,0))))</f>
        <v>0</v>
      </c>
      <c r="AC57" s="223" t="str">
        <f>IF(Бланк!AD73="","",Бланк!AD73)</f>
        <v/>
      </c>
      <c r="AD57" s="195">
        <f>IF(OR($AC57=0,$AC57=""),0,$AC57*Прайс!$D$111)</f>
        <v>0</v>
      </c>
      <c r="AE57" s="197" t="str">
        <f>IF(Бланк!AE73="","",Бланк!AE73)</f>
        <v/>
      </c>
      <c r="AF57" s="197" t="str">
        <f>IF(Бланк!AF73="","",Бланк!AF73)</f>
        <v/>
      </c>
      <c r="AG57" s="197" t="str">
        <f>IF(Бланк!AG73="","",Бланк!AG73)</f>
        <v/>
      </c>
      <c r="AH57" s="197" t="str">
        <f>IF(Бланк!AH73="","",Бланк!AH73)</f>
        <v/>
      </c>
      <c r="AI57" s="142" t="e">
        <f t="shared" ref="AI57:AI60" si="2">$C57*D$56*$E57*3.14/2</f>
        <v>#VALUE!</v>
      </c>
      <c r="AJ57" s="198"/>
      <c r="AK57" s="199"/>
      <c r="AL57" s="198"/>
      <c r="AM57" s="216"/>
      <c r="AN57" s="216"/>
      <c r="AO57" s="216"/>
      <c r="AP57" s="216"/>
      <c r="AQ57" s="200"/>
    </row>
    <row r="58" spans="2:44" s="202" customFormat="1" ht="21" customHeight="1" x14ac:dyDescent="0.3">
      <c r="B58" s="224">
        <v>3</v>
      </c>
      <c r="C58" s="192" t="str">
        <f>IF(Бланк!$C74="","",Бланк!$C74/1000)</f>
        <v/>
      </c>
      <c r="D58" s="192" t="str">
        <f>IF(Бланк!$D74="","",Бланк!$D74/1000)</f>
        <v/>
      </c>
      <c r="E58" s="192" t="str">
        <f>IF(Бланк!$E74="","",Бланк!$E74)</f>
        <v/>
      </c>
      <c r="F58" s="192" t="str">
        <f>IF(Бланк!$F74="","",Бланк!$F74)</f>
        <v/>
      </c>
      <c r="G58" s="192" t="str">
        <f>IF(Бланк!$G74="","",Бланк!$G74)</f>
        <v/>
      </c>
      <c r="H58" s="193" t="str">
        <f>IF($G58="","",VLOOKUP($G58,Наименование!$M$42:$N$95,2,FALSE))</f>
        <v/>
      </c>
      <c r="I58" s="192" t="str">
        <f>IF(Бланк!$H74="","",Бланк!$H74)</f>
        <v/>
      </c>
      <c r="J58" s="218" t="str">
        <f>IF(Бланк!$I74="","",Бланк!$I74)</f>
        <v/>
      </c>
      <c r="K58" s="219" t="str">
        <f>IF($J58="","",Прайс!$D$108*Просчет!$E58)</f>
        <v/>
      </c>
      <c r="L58" s="220" t="str">
        <f>IF(Бланк!$J74="","",Бланк!$J74/1000)</f>
        <v/>
      </c>
      <c r="M58" s="220" t="str">
        <f>IF(Бланк!$K74="","",Бланк!$K74)</f>
        <v/>
      </c>
      <c r="N58" s="195">
        <f t="shared" si="1"/>
        <v>0</v>
      </c>
      <c r="O58" s="221">
        <f>IF($G58="гладкий",IF($M58="","",IF(OR($M58="J № 1",$M58="J № 2",$M58="J № 2L",$M58="J № 2R"),$N58*Прайс!$D$45,IF(OR($M58="J № 3",$M58="J № 4",$M58="J № 5",$M58="J № 6",$M58="J № 7"),Прайс!$D$45*$E58,IF(OR($M58="J № 3L",$M58="J № 3R",$M58="J № 4L",$M58="J № 4R",$M58="J № 5L",$M58="J № 5R"),$N58/2*Прайс!$D$45,IF($M58="45 град.",$N58*Прайс!$D$42,0))))),0)</f>
        <v>0</v>
      </c>
      <c r="P58" s="220" t="str">
        <f>IF(Бланк!$L74="","",Бланк!$L74)</f>
        <v/>
      </c>
      <c r="Q58" s="220" t="str">
        <f>IF(Бланк!$M74="","",Бланк!$M74)</f>
        <v/>
      </c>
      <c r="R58" s="194">
        <f>IF($P58="",0,IF($Q58=$U58,0,IF($Q58="",0,IF(OR($G58=35,$G58=36,$G58=37,$G58=38),Прайс!$D$118*Бланк!E75,IF(AND($G58="гладкий",OR($M58="J № 1",$M58="J № 2",$M58="J № 2L",$M58="J № 2R")),$N58*Прайс!$D$59,0)))))</f>
        <v>0</v>
      </c>
      <c r="S58" s="220" t="str">
        <f>IF(OR(Бланк!$O74=0,Бланк!$O74=""),"",1)</f>
        <v/>
      </c>
      <c r="T58" s="220" t="str">
        <f>IF(Бланк!$R74="","",Бланк!$R74)</f>
        <v/>
      </c>
      <c r="U58" s="220" t="str">
        <f>IF(Бланк!$S74="","",Бланк!$S74)</f>
        <v/>
      </c>
      <c r="V58" s="220" t="str">
        <f>IF(Бланк!$T74="","",Бланк!$T74)</f>
        <v/>
      </c>
      <c r="W58" s="222" t="str">
        <f>IF(Бланк!$W74="","",Бланк!$W74)</f>
        <v/>
      </c>
      <c r="X58" s="223" t="str">
        <f>IF(Бланк!AB74="","",Бланк!AB74)</f>
        <v/>
      </c>
      <c r="Y58" s="223" t="str">
        <f>IF(Бланк!AC74="","",Бланк!AC74)</f>
        <v/>
      </c>
      <c r="Z58" s="221">
        <f>IF($G58="Гладкий",IF(OR($C58=0,$C58=""),0,IF(AND(OR($V58="Перли",$V58="Металік",$V58="Перл.зол.",$V58="Перл.ср.",$V58="Перл.зол.",$V58="Зор.н.ср.",$V58="Зор.н.зол.",$V58="Зор.н.різн.",$V58="Гума"),$F58=16),$AI58*Прайс!$F$12,IF(AND(OR($V58="",$V58=0),$X58="Матове",$F58=16),$AI58*Прайс!$F$10,IF(AND(OR($V58="",$V58=0),$X58="Глянець",$F58=16),$AI58*Прайс!$F$11,IF(AND(OR($V58="",$V58=0),$X58="Софт(TS)",$F58=16),$AI58*Прайс!#REF!,0))))),0)+IF($G58="Гладкий",0,IF(AND(OR($V58="Перли",$V58="Металік",$V58="Перл.зол.",$V58="Перл.ср.",$V58="Перл.зол.",$V58="Зор.н.ср.",$V58="Зор.н.зол.",$V58="Зор.н.різн.",$V58="Гума"),$F58=16,$H58=1),$AI58*Прайс!$H$76,IF(AND(OR($V58="",$V58=0),$X58="Матове",$F58=16,$H58=1),$AI58*Прайс!$H$73,IF(AND(OR($V58="",$V58=0),$X58="Глянець",$F58=16,$H58=1),$AI58*Прайс!$H$75,IF(AND(OR($V58="",$V58=0),$X58="Софт(TS)",$F58=16,$H58=1),$AI58*Прайс!$H$74,IF(AND(OR($V58="",$V58=0),$X58="Матове покриття з патиною",$F58=16,$H58=1),$AI58*Прайс!$H$77,IF(AND(OR($V58="",$V58=0),$X58="Глянцеве покриття з патиною",$F58=16,$H58=1),$AI58*Прайс!$H$78,IF(AND(OR($V58="",$V58=0),$X58="Матовий DECAPE",$F58=16,$H58=1),$AI58*Прайс!$H$79,IF(AND(OR($V58="",$V58=0),$X58="Глянцевий DECAPE",$F58=16,$H58=1),$AI58*Прайс!$H$80,0))))))))+IF($G58="Гладкий",0,IF(AND(OR($V58="Перли",$V58="Металік",$V58="Перл.зол.",$V58="Перл.ср.",$V58="Перл.зол.",$V58="Зор.н.ср.",$V58="Зор.н.зол.",$V58="Зор.н.різн.",$V58="Гума"),$F58=16,$H58=2),$AI58*Прайс!$I$76,IF(AND(OR($V58="",$V58=0),$X58="Матове",$F58=16,$H58=2),$AI58*Прайс!$I$73,IF(AND(OR($V58="",$V58=0),$X58="Глянець",$F58=16,$H58=2),$AI58*Прайс!$I$75,IF(AND(OR($V58="",$V58=0),$X58="Софт(TS)",$F58=16,$H58=2),$AI58*Прайс!$I$74,IF(AND(OR($V58="",$V58=0),$X58="Матове покриття з патиною",$F58=16,$H58=2),$AI58*Прайс!$I$77,IF(AND(OR($V58="",$V58=0),$X58="Глянцеве покриття з патиною",$F58=16,$H58=2),$AI58*Прайс!$I$78,IF(AND(OR($V58="",$V58=0),$X58="Матовий DECAPE",$F58=16,$H58=2),$AI58*Прайс!$I$79,IF(AND(OR($V58="",$V58=0),$X58="Глянцевий DECAPE",$F58=16,$H58=2),$AI58*Прайс!$I$80,0))))))))+IF(AND($S58=1,OR($H58=1,$H58=0),$X58=Прайс!$C$89,$F58=16),Просчет!$AI58*Прайс!$H$89,IF(AND($S58=1,OR($H58=1,$H58=0),$X58=Прайс!$C$90,$F58=16),Просчет!$AI58*Прайс!$H$90,IF(AND($S58=1,OR($H58=1,$H58=0),$X58=Прайс!$C$91,$F58=16),Просчет!$AI58*Прайс!$H$91,IF(AND($S58=1,OR($H58=1,$H58=0),$X58=Прайс!$C$92,$F58=16),Просчет!$AI58*Прайс!$H$92,0))))+IF(AND($S58=1,$H58=2,$X58=Прайс!$C$89,$F58=16),Просчет!$AI58*Прайс!$I$89,IF(AND($S58=1,$H58=2,$X58=Прайс!$C$90,$F58=16),Просчет!$AI58*Прайс!$I$90,IF(AND($S58=1,$H58=2,$X58=Прайс!$C$91,$F58=16),Просчет!$AI58*Прайс!$I$91,IF(AND($S58=1,$H58=2,$X58=Прайс!$C$92,$F58=16),Просчет!$AI58*Прайс!$I$92,0))))))</f>
        <v>0</v>
      </c>
      <c r="AA58" s="195">
        <f>IF($G58="Гладкий",IF(OR($C58=0,$C58=""),0,IF(AND(OR($V58="Перли",$V58="Металік",$V58="Перл.зол.",$V58="Перл.ср.",$V58="Перл.зол.",$V58="Зор.н.ср.",$V58="Зор.н.зол.",$V58="Зор.н.різн.",$V58="Гума"),$F58=19),$AI58*Прайс!$G$12,IF(AND(OR($V58="",$V58=0),$X58="Матове",$F58=19),$AI58*Прайс!$G$10,IF(AND(OR($V58="",$V58=0),$X58="Глянець",$F58=19),$AI58*Прайс!$G$11,IF(AND(OR($V58="",$V58=0),$X58="Софт(TS)",$F58=19),$AI58*Прайс!#REF!,0))))),0)+IF($G58="Гладкий",0,IF(AND(OR($V58="Перли",$V58="Металік",$V58="Перл.зол.",$V58="Перл.ср.",$V58="Перл.зол.",$V58="Зор.н.ср.",$V58="Зор.н.зол.",$V58="Зор.н.різн.",$V58="Гума"),$F58=19,$G58=1),$AI58*Прайс!$J$76,IF(AND(OR($V58="",$V58=0),$X58="Матове",$F58=19,$G58=1),$AI58*Прайс!$J$73,IF(AND(OR($V58="",$V58=0),$X58="Глянець",$F58=19,$G58=1),$AI58*Прайс!$J$75,IF(AND(OR($V58="",$V58=0),$X58="Софт(TS)",$F58=19,$G58=1),$AI58*Прайс!$J$74,IF(AND(OR($V58="",$V58=0),$X58="Матове покриття з патиною",$F58=19,$G58=1),$AI58*Прайс!$J$77,IF(AND(OR($V58="",$V58=0),$X58="Глянцеве покриття з патиною",$F58=19,$G58=1),$AI58*Прайс!$J$78,IF(AND(OR($V58="",$V58=0),$X58="Матовий DECAPE",$F58=19,$G58=1),$AI58*Прайс!$J$79,IF(AND(OR($V58="",$V58=0),$X58="Глянцевий DECAPE",$F58=19,$G58=1),$AI58*Прайс!$J$80,0)))))))))+IF($G58="Гладкий",0,IF(AND(OR($V58="Перли",$V58="Металік",$V58="Перл.зол.",$V58="Перл.ср.",$V58="Перл.зол.",$V58="Зор.н.ср.",$V58="Зор.н.зол.",$V58="Зор.н.різн.",$V58="Гума"),$F58=19,$G58=2),$AI58*Прайс!$K$76,IF(AND(OR($V58="",$V58=0),$X58="Матове",$F58=19,$G58=2),$AI58*Прайс!$K$73,IF(AND(OR($V58="",$V58=0),$X58="Глянець",$F58=19,$G58=2),$AI58*Прайс!$K$75,IF(AND(OR($V58="",$V58=0),$X58="Софт(TS)",$F58=19,$G58=2),$AI58*Прайс!$K$74,IF(AND(OR($V58="",$V58=0),$X58="Матове покриття з патиною",$F58=19,$G58=2),$AI58*Прайс!$K$77,IF(AND(OR($V58="",$V58=0),$X58="Глянцеве покриття з патиною",$F58=19,$G58=2),$AI58*Прайс!$K$78,IF(AND(OR($V58="",$V58=0),$X58="Матовий DECAPE",$F58=19,$G58=2),$AI58*Прайс!$K$79,IF(AND(OR($V58="",$V58=0),$X58="Глянцевий DECAPE",$F58=19,$G58=2),$AI58*Прайс!$K$80,0)))))))))+IF(AND($S58=1,OR($G58=1,$G58=0),$X58=Прайс!$C$89,$F58=19),$AI58*Прайс!$J$89,IF(AND($S58=1,OR($G58=1,$H58=0),$X58=Прайс!$C$90,$F58=19),$AI58*Прайс!$J$90,IF(AND($S58=1,OR($H58=1,$H58=0),$X58=Прайс!$C$91,$F58=19),$AI58*Прайс!$J$91,IF(AND($S58=1,OR($H58=1,$H58=0),$X58=Прайс!$C$92,$F58=19),$AI58*Прайс!$J$92,0))))+IF(OR($V58="",$V58=0),IF(AND($S58=1,$H58=2,$X58=Прайс!$C$89,$F58=19),$AI58*Прайс!$K$89,IF(AND($S58=1,$H58=2,$X58=Прайс!$C$90,$F58=19),$AI58*Прайс!$K$90,IF(AND($S58=1,$H58=2,$X58=Прайс!$C$91,$F58=19),$AI58*Прайс!$K$91,IF(AND($S58=1,$H58=2,$X58=Прайс!$C$92,$F58=19),$AI58*Прайс!$K$92,0)))))</f>
        <v>0</v>
      </c>
      <c r="AB58" s="195">
        <f>IF($G58="Гладкий",IF(OR($C58=0,$C58=""),0,IF($Y58="Матове",$AI58*(Прайс!$F$10-500),IF($Y58="Глянець",$AI58*(Прайс!$F$11-500),IF($Y58="Софт(TS)",$AI58*(Прайс!#REF!-500),0)))),0)+IF($G58="Гладкий",0,IF(AND($Y58="Матове",$H58=1),$AI58*Прайс!$H$73*0.5,IF(AND($Y58="Глянець",$H58=1),$AI58*Прайс!$H$75*0.5,IF(AND($Y58="Софт(TS)",$H58=1),$AI58*Прайс!$H$74*0.5,IF(AND($Y58="Матове покриття з патиною",$H58=1),$AI58*Прайс!$H$77*0.5,IF(AND($Y58="Глянцеве покриття з патиною",$H58=1),$AI58*Прайс!$H$77*0.5,IF(AND($Y58="Матовий DECAPE",$H58=1),$AI58*Прайс!$H$79*0.5,IF(AND($Y58="Глянцевий DECAPE",$H58=1),$AI58*Прайс!$H$80*0.5,0))))))))+IF($G58="Гладкий",0,IF(AND($Y58="Матове",$H58=2),$AI58*Прайс!$I$73*0.5,IF(AND($Y58="Глянець",$H58=2),$AI58*Прайс!$I$75*0.5,IF(AND($Y58="Софт(TS)",$H58=2),$AI58*Прайс!$I$74*0.5,IF(AND($Y58="Матове покриття з патиною",$H58=2),$AI58*Прайс!$I$77*0.5,IF(AND($Y58="Глянцеве покриття з патиною",$H58=2),$AI58*Прайс!$I$78*0.5,IF(AND($Y58="Матовий DECAPE",$H58=2),$AI58*Прайс!$I$79*0.5,IF(AND($Y58="Глянцевий DECAPE",$H58=2),$AI58*Прайс!$I$80*0.5,0))))))))+IF(AND($S58=1,OR($H58=1,$H58=0),$Y58=Прайс!$C$89),$AI58*Прайс!$H$89*0.5,IF(AND($S58=1,OR($H58=1,$H58=0),$Y58=Прайс!$C$90),$AI58*Прайс!$H$90*0.5,IF(AND($S58=1,OR($H58=1,$H58=0),$Y58=Прайс!$C$91),$AI58*Прайс!$H$91*0.5,IF(AND($S58=1,OR($H58=1,$H58=0),$Y58=Прайс!$C$92),$AI58*Прайс!$H$92*0.5,0))))+IF(AND($S58=1,$H58=2,$Y58=Прайс!$C$89),$AI58*Прайс!$I$89*0.5,IF(AND($S58=1,$H58=2,$Y58=Прайс!$C$90),$AI58*Прайс!$I$90*0.5,IF(AND($S58=1,$H58=2,$Y58=Прайс!$C$91),$AI58*Прайс!$I$91*0.5,IF(AND($S58=1,$H58=2,$Y58=Прайс!$C$92),$AI58*Прайс!$I$92*0.5,0))))</f>
        <v>0</v>
      </c>
      <c r="AC58" s="223" t="str">
        <f>IF(Бланк!AD74="","",Бланк!AD74)</f>
        <v/>
      </c>
      <c r="AD58" s="195">
        <f>IF(OR($AC58=0,$AC58=""),0,$AC58*Прайс!$D$111)</f>
        <v>0</v>
      </c>
      <c r="AE58" s="197" t="str">
        <f>IF(Бланк!AE74="","",Бланк!AE74)</f>
        <v/>
      </c>
      <c r="AF58" s="197" t="str">
        <f>IF(Бланк!AF74="","",Бланк!AF74)</f>
        <v/>
      </c>
      <c r="AG58" s="197" t="str">
        <f>IF(Бланк!AG74="","",Бланк!AG74)</f>
        <v/>
      </c>
      <c r="AH58" s="197" t="str">
        <f>IF(Бланк!AH74="","",Бланк!AH74)</f>
        <v/>
      </c>
      <c r="AI58" s="142" t="e">
        <f t="shared" si="2"/>
        <v>#VALUE!</v>
      </c>
      <c r="AJ58" s="198"/>
      <c r="AK58" s="199"/>
      <c r="AL58" s="198"/>
      <c r="AM58" s="216"/>
      <c r="AN58" s="216"/>
      <c r="AO58" s="216"/>
      <c r="AP58" s="216"/>
      <c r="AQ58" s="200"/>
    </row>
    <row r="59" spans="2:44" s="202" customFormat="1" ht="21" customHeight="1" x14ac:dyDescent="0.3">
      <c r="B59" s="201">
        <v>4</v>
      </c>
      <c r="C59" s="192" t="str">
        <f>IF(Бланк!$C75="","",Бланк!$C75/1000)</f>
        <v/>
      </c>
      <c r="D59" s="192" t="str">
        <f>IF(Бланк!$D75="","",Бланк!$D75/1000)</f>
        <v/>
      </c>
      <c r="E59" s="192" t="str">
        <f>IF(Бланк!$E75="","",Бланк!$E75)</f>
        <v/>
      </c>
      <c r="F59" s="192" t="str">
        <f>IF(Бланк!$F75="","",Бланк!$F75)</f>
        <v/>
      </c>
      <c r="G59" s="192" t="str">
        <f>IF(Бланк!$G75="","",Бланк!$G75)</f>
        <v/>
      </c>
      <c r="H59" s="193" t="str">
        <f>IF($G59="","",VLOOKUP($G59,Наименование!$M$42:$N$95,2,FALSE))</f>
        <v/>
      </c>
      <c r="I59" s="192" t="str">
        <f>IF(Бланк!$H75="","",Бланк!$H75)</f>
        <v/>
      </c>
      <c r="J59" s="218" t="str">
        <f>IF(Бланк!$I75="","",Бланк!$I75)</f>
        <v/>
      </c>
      <c r="K59" s="219" t="str">
        <f>IF($J59="","",Прайс!$D$108*Просчет!$E59)</f>
        <v/>
      </c>
      <c r="L59" s="220" t="str">
        <f>IF(Бланк!$J75="","",Бланк!$J75/1000)</f>
        <v/>
      </c>
      <c r="M59" s="220" t="str">
        <f>IF(Бланк!$K75="","",Бланк!$K75)</f>
        <v/>
      </c>
      <c r="N59" s="195">
        <f t="shared" si="1"/>
        <v>0</v>
      </c>
      <c r="O59" s="221">
        <f>IF($G59="гладкий",IF($M59="","",IF(OR($M59="J № 1",$M59="J № 2",$M59="J № 2L",$M59="J № 2R"),$N59*Прайс!$D$45,IF(OR($M59="J № 3",$M59="J № 4",$M59="J № 5",$M59="J № 6",$M59="J № 7"),Прайс!$D$45*$E59,IF(OR($M59="J № 3L",$M59="J № 3R",$M59="J № 4L",$M59="J № 4R",$M59="J № 5L",$M59="J № 5R"),$N59/2*Прайс!$D$45,IF($M59="45 град.",$N59*Прайс!$D$42,0))))),0)</f>
        <v>0</v>
      </c>
      <c r="P59" s="220" t="str">
        <f>IF(Бланк!$L75="","",Бланк!$L75)</f>
        <v/>
      </c>
      <c r="Q59" s="220" t="str">
        <f>IF(Бланк!$M75="","",Бланк!$M75)</f>
        <v/>
      </c>
      <c r="R59" s="194">
        <f>IF($P59="",0,IF($Q59=$U59,0,IF($Q59="",0,IF(OR($G59=35,$G59=36,$G59=37,$G59=38),Прайс!$D$118*Бланк!E76,IF(AND($G59="гладкий",OR($M59="J № 1",$M59="J № 2",$M59="J № 2L",$M59="J № 2R")),$N59*Прайс!$D$59,0)))))</f>
        <v>0</v>
      </c>
      <c r="S59" s="220" t="str">
        <f>IF(OR(Бланк!$O75=0,Бланк!$O75=""),"",1)</f>
        <v/>
      </c>
      <c r="T59" s="220" t="str">
        <f>IF(Бланк!$R75="","",Бланк!$R75)</f>
        <v/>
      </c>
      <c r="U59" s="220" t="str">
        <f>IF(Бланк!$S75="","",Бланк!$S75)</f>
        <v/>
      </c>
      <c r="V59" s="220" t="str">
        <f>IF(Бланк!$T75="","",Бланк!$T75)</f>
        <v/>
      </c>
      <c r="W59" s="222" t="str">
        <f>IF(Бланк!$W75="","",Бланк!$W75)</f>
        <v/>
      </c>
      <c r="X59" s="223" t="str">
        <f>IF(Бланк!AB75="","",Бланк!AB75)</f>
        <v/>
      </c>
      <c r="Y59" s="223" t="str">
        <f>IF(Бланк!AC75="","",Бланк!AC75)</f>
        <v/>
      </c>
      <c r="Z59" s="221">
        <f>IF($G59="Гладкий",IF(OR($C59=0,$C59=""),0,IF(AND(OR($V59="Перли",$V59="Металік",$V59="Перл.зол.",$V59="Перл.ср.",$V59="Перл.зол.",$V59="Зор.н.ср.",$V59="Зор.н.зол.",$V59="Зор.н.різн.",$V59="Гума"),$F59=16),$AI59*Прайс!$F$12,IF(AND(OR($V59="",$V59=0),$X59="Матове",$F59=16),$AI59*Прайс!$F$10,IF(AND(OR($V59="",$V59=0),$X59="Глянець",$F59=16),$AI59*Прайс!$F$11,IF(AND(OR($V59="",$V59=0),$X59="Софт(TS)",$F59=16),$AI59*Прайс!#REF!,0))))),0)+IF($G59="Гладкий",0,IF(AND(OR($V59="Перли",$V59="Металік",$V59="Перл.зол.",$V59="Перл.ср.",$V59="Перл.зол.",$V59="Зор.н.ср.",$V59="Зор.н.зол.",$V59="Зор.н.різн.",$V59="Гума"),$F59=16,$H59=1),$AI59*Прайс!$H$76,IF(AND(OR($V59="",$V59=0),$X59="Матове",$F59=16,$H59=1),$AI59*Прайс!$H$73,IF(AND(OR($V59="",$V59=0),$X59="Глянець",$F59=16,$H59=1),$AI59*Прайс!$H$75,IF(AND(OR($V59="",$V59=0),$X59="Софт(TS)",$F59=16,$H59=1),$AI59*Прайс!$H$74,IF(AND(OR($V59="",$V59=0),$X59="Матове покриття з патиною",$F59=16,$H59=1),$AI59*Прайс!$H$77,IF(AND(OR($V59="",$V59=0),$X59="Глянцеве покриття з патиною",$F59=16,$H59=1),$AI59*Прайс!$H$78,IF(AND(OR($V59="",$V59=0),$X59="Матовий DECAPE",$F59=16,$H59=1),$AI59*Прайс!$H$79,IF(AND(OR($V59="",$V59=0),$X59="Глянцевий DECAPE",$F59=16,$H59=1),$AI59*Прайс!$H$80,0))))))))+IF($G59="Гладкий",0,IF(AND(OR($V59="Перли",$V59="Металік",$V59="Перл.зол.",$V59="Перл.ср.",$V59="Перл.зол.",$V59="Зор.н.ср.",$V59="Зор.н.зол.",$V59="Зор.н.різн.",$V59="Гума"),$F59=16,$H59=2),$AI59*Прайс!$I$76,IF(AND(OR($V59="",$V59=0),$X59="Матове",$F59=16,$H59=2),$AI59*Прайс!$I$73,IF(AND(OR($V59="",$V59=0),$X59="Глянець",$F59=16,$H59=2),$AI59*Прайс!$I$75,IF(AND(OR($V59="",$V59=0),$X59="Софт(TS)",$F59=16,$H59=2),$AI59*Прайс!$I$74,IF(AND(OR($V59="",$V59=0),$X59="Матове покриття з патиною",$F59=16,$H59=2),$AI59*Прайс!$I$77,IF(AND(OR($V59="",$V59=0),$X59="Глянцеве покриття з патиною",$F59=16,$H59=2),$AI59*Прайс!$I$78,IF(AND(OR($V59="",$V59=0),$X59="Матовий DECAPE",$F59=16,$H59=2),$AI59*Прайс!$I$79,IF(AND(OR($V59="",$V59=0),$X59="Глянцевий DECAPE",$F59=16,$H59=2),$AI59*Прайс!$I$80,0))))))))+IF(AND($S59=1,OR($H59=1,$H59=0),$X59=Прайс!$C$89,$F59=16),Просчет!$AI59*Прайс!$H$89,IF(AND($S59=1,OR($H59=1,$H59=0),$X59=Прайс!$C$90,$F59=16),Просчет!$AI59*Прайс!$H$90,IF(AND($S59=1,OR($H59=1,$H59=0),$X59=Прайс!$C$91,$F59=16),Просчет!$AI59*Прайс!$H$91,IF(AND($S59=1,OR($H59=1,$H59=0),$X59=Прайс!$C$92,$F59=16),Просчет!$AI59*Прайс!$H$92,0))))+IF(AND($S59=1,$H59=2,$X59=Прайс!$C$89,$F59=16),Просчет!$AI59*Прайс!$I$89,IF(AND($S59=1,$H59=2,$X59=Прайс!$C$90,$F59=16),Просчет!$AI59*Прайс!$I$90,IF(AND($S59=1,$H59=2,$X59=Прайс!$C$91,$F59=16),Просчет!$AI59*Прайс!$I$91,IF(AND($S59=1,$H59=2,$X59=Прайс!$C$92,$F59=16),Просчет!$AI59*Прайс!$I$92,0))))))</f>
        <v>0</v>
      </c>
      <c r="AA59" s="195">
        <f>IF($G59="Гладкий",IF(OR($C59=0,$C59=""),0,IF(AND(OR($V59="Перли",$V59="Металік",$V59="Перл.зол.",$V59="Перл.ср.",$V59="Перл.зол.",$V59="Зор.н.ср.",$V59="Зор.н.зол.",$V59="Зор.н.різн.",$V59="Гума"),$F59=19),$AI59*Прайс!$G$12,IF(AND(OR($V59="",$V59=0),$X59="Матове",$F59=19),$AI59*Прайс!$G$10,IF(AND(OR($V59="",$V59=0),$X59="Глянець",$F59=19),$AI59*Прайс!$G$11,IF(AND(OR($V59="",$V59=0),$X59="Софт(TS)",$F59=19),$AI59*Прайс!#REF!,0))))),0)+IF($G59="Гладкий",0,IF(AND(OR($V59="Перли",$V59="Металік",$V59="Перл.зол.",$V59="Перл.ср.",$V59="Перл.зол.",$V59="Зор.н.ср.",$V59="Зор.н.зол.",$V59="Зор.н.різн.",$V59="Гума"),$F59=19,$G59=1),$AI59*Прайс!$J$76,IF(AND(OR($V59="",$V59=0),$X59="Матове",$F59=19,$G59=1),$AI59*Прайс!$J$73,IF(AND(OR($V59="",$V59=0),$X59="Глянець",$F59=19,$G59=1),$AI59*Прайс!$J$75,IF(AND(OR($V59="",$V59=0),$X59="Софт(TS)",$F59=19,$G59=1),$AI59*Прайс!$J$74,IF(AND(OR($V59="",$V59=0),$X59="Матове покриття з патиною",$F59=19,$G59=1),$AI59*Прайс!$J$77,IF(AND(OR($V59="",$V59=0),$X59="Глянцеве покриття з патиною",$F59=19,$G59=1),$AI59*Прайс!$J$78,IF(AND(OR($V59="",$V59=0),$X59="Матовий DECAPE",$F59=19,$G59=1),$AI59*Прайс!$J$79,IF(AND(OR($V59="",$V59=0),$X59="Глянцевий DECAPE",$F59=19,$G59=1),$AI59*Прайс!$J$80,0)))))))))+IF($G59="Гладкий",0,IF(AND(OR($V59="Перли",$V59="Металік",$V59="Перл.зол.",$V59="Перл.ср.",$V59="Перл.зол.",$V59="Зор.н.ср.",$V59="Зор.н.зол.",$V59="Зор.н.різн.",$V59="Гума"),$F59=19,$G59=2),$AI59*Прайс!$K$76,IF(AND(OR($V59="",$V59=0),$X59="Матове",$F59=19,$G59=2),$AI59*Прайс!$K$73,IF(AND(OR($V59="",$V59=0),$X59="Глянець",$F59=19,$G59=2),$AI59*Прайс!$K$75,IF(AND(OR($V59="",$V59=0),$X59="Софт(TS)",$F59=19,$G59=2),$AI59*Прайс!$K$74,IF(AND(OR($V59="",$V59=0),$X59="Матове покриття з патиною",$F59=19,$G59=2),$AI59*Прайс!$K$77,IF(AND(OR($V59="",$V59=0),$X59="Глянцеве покриття з патиною",$F59=19,$G59=2),$AI59*Прайс!$K$78,IF(AND(OR($V59="",$V59=0),$X59="Матовий DECAPE",$F59=19,$G59=2),$AI59*Прайс!$K$79,IF(AND(OR($V59="",$V59=0),$X59="Глянцевий DECAPE",$F59=19,$G59=2),$AI59*Прайс!$K$80,0)))))))))+IF(AND($S59=1,OR($G59=1,$G59=0),$X59=Прайс!$C$89,$F59=19),$AI59*Прайс!$J$89,IF(AND($S59=1,OR($G59=1,$H59=0),$X59=Прайс!$C$90,$F59=19),$AI59*Прайс!$J$90,IF(AND($S59=1,OR($H59=1,$H59=0),$X59=Прайс!$C$91,$F59=19),$AI59*Прайс!$J$91,IF(AND($S59=1,OR($H59=1,$H59=0),$X59=Прайс!$C$92,$F59=19),$AI59*Прайс!$J$92,0))))+IF(OR($V59="",$V59=0),IF(AND($S59=1,$H59=2,$X59=Прайс!$C$89,$F59=19),$AI59*Прайс!$K$89,IF(AND($S59=1,$H59=2,$X59=Прайс!$C$90,$F59=19),$AI59*Прайс!$K$90,IF(AND($S59=1,$H59=2,$X59=Прайс!$C$91,$F59=19),$AI59*Прайс!$K$91,IF(AND($S59=1,$H59=2,$X59=Прайс!$C$92,$F59=19),$AI59*Прайс!$K$92,0)))))</f>
        <v>0</v>
      </c>
      <c r="AB59" s="195">
        <f>IF($G59="Гладкий",IF(OR($C59=0,$C59=""),0,IF($Y59="Матове",$AI59*(Прайс!$F$10-500),IF($Y59="Глянець",$AI59*(Прайс!$F$11-500),IF($Y59="Софт(TS)",$AI59*(Прайс!#REF!-500),0)))),0)+IF($G59="Гладкий",0,IF(AND($Y59="Матове",$H59=1),$AI59*Прайс!$H$73*0.5,IF(AND($Y59="Глянець",$H59=1),$AI59*Прайс!$H$75*0.5,IF(AND($Y59="Софт(TS)",$H59=1),$AI59*Прайс!$H$74*0.5,IF(AND($Y59="Матове покриття з патиною",$H59=1),$AI59*Прайс!$H$77*0.5,IF(AND($Y59="Глянцеве покриття з патиною",$H59=1),$AI59*Прайс!$H$77*0.5,IF(AND($Y59="Матовий DECAPE",$H59=1),$AI59*Прайс!$H$79*0.5,IF(AND($Y59="Глянцевий DECAPE",$H59=1),$AI59*Прайс!$H$80*0.5,0))))))))+IF($G59="Гладкий",0,IF(AND($Y59="Матове",$H59=2),$AI59*Прайс!$I$73*0.5,IF(AND($Y59="Глянець",$H59=2),$AI59*Прайс!$I$75*0.5,IF(AND($Y59="Софт(TS)",$H59=2),$AI59*Прайс!$I$74*0.5,IF(AND($Y59="Матове покриття з патиною",$H59=2),$AI59*Прайс!$I$77*0.5,IF(AND($Y59="Глянцеве покриття з патиною",$H59=2),$AI59*Прайс!$I$78*0.5,IF(AND($Y59="Матовий DECAPE",$H59=2),$AI59*Прайс!$I$79*0.5,IF(AND($Y59="Глянцевий DECAPE",$H59=2),$AI59*Прайс!$I$80*0.5,0))))))))+IF(AND($S59=1,OR($H59=1,$H59=0),$Y59=Прайс!$C$89),$AI59*Прайс!$H$89*0.5,IF(AND($S59=1,OR($H59=1,$H59=0),$Y59=Прайс!$C$90),$AI59*Прайс!$H$90*0.5,IF(AND($S59=1,OR($H59=1,$H59=0),$Y59=Прайс!$C$91),$AI59*Прайс!$H$91*0.5,IF(AND($S59=1,OR($H59=1,$H59=0),$Y59=Прайс!$C$92),$AI59*Прайс!$H$92*0.5,0))))+IF(AND($S59=1,$H59=2,$Y59=Прайс!$C$89),$AI59*Прайс!$I$89*0.5,IF(AND($S59=1,$H59=2,$Y59=Прайс!$C$90),$AI59*Прайс!$I$90*0.5,IF(AND($S59=1,$H59=2,$Y59=Прайс!$C$91),$AI59*Прайс!$I$91*0.5,IF(AND($S59=1,$H59=2,$Y59=Прайс!$C$92),$AI59*Прайс!$I$92*0.5,0))))</f>
        <v>0</v>
      </c>
      <c r="AC59" s="223" t="str">
        <f>IF(Бланк!AD75="","",Бланк!AD75)</f>
        <v/>
      </c>
      <c r="AD59" s="195">
        <f>IF(OR($AC59=0,$AC59=""),0,$AC59*Прайс!$D$111)</f>
        <v>0</v>
      </c>
      <c r="AE59" s="197" t="str">
        <f>IF(Бланк!AE75="","",Бланк!AE75)</f>
        <v/>
      </c>
      <c r="AF59" s="197" t="str">
        <f>IF(Бланк!AF75="","",Бланк!AF75)</f>
        <v/>
      </c>
      <c r="AG59" s="197" t="str">
        <f>IF(Бланк!AG75="","",Бланк!AG75)</f>
        <v/>
      </c>
      <c r="AH59" s="197" t="str">
        <f>IF(Бланк!AH75="","",Бланк!AH75)</f>
        <v/>
      </c>
      <c r="AI59" s="142" t="e">
        <f t="shared" si="2"/>
        <v>#VALUE!</v>
      </c>
      <c r="AJ59" s="198"/>
      <c r="AK59" s="199"/>
      <c r="AL59" s="198"/>
      <c r="AM59" s="216"/>
      <c r="AN59" s="216"/>
      <c r="AO59" s="216"/>
      <c r="AP59" s="216"/>
      <c r="AQ59" s="200"/>
    </row>
    <row r="60" spans="2:44" ht="18" x14ac:dyDescent="0.25">
      <c r="B60" s="224">
        <v>5</v>
      </c>
      <c r="C60" s="192" t="str">
        <f>IF(Бланк!$C76="","",Бланк!$C76/1000)</f>
        <v/>
      </c>
      <c r="D60" s="192" t="str">
        <f>IF(Бланк!$D76="","",Бланк!$D76/1000)</f>
        <v/>
      </c>
      <c r="E60" s="192" t="str">
        <f>IF(Бланк!$E76="","",Бланк!$E76)</f>
        <v/>
      </c>
      <c r="F60" s="192" t="str">
        <f>IF(Бланк!$F76="","",Бланк!$F76)</f>
        <v/>
      </c>
      <c r="G60" s="192" t="str">
        <f>IF(Бланк!$G76="","",Бланк!$G76)</f>
        <v/>
      </c>
      <c r="H60" s="193" t="str">
        <f>IF($G60="","",VLOOKUP($G60,Наименование!$M$42:$N$95,2,FALSE))</f>
        <v/>
      </c>
      <c r="I60" s="192" t="str">
        <f>IF(Бланк!$H76="","",Бланк!$H76)</f>
        <v/>
      </c>
      <c r="J60" s="218" t="str">
        <f>IF(Бланк!$I76="","",Бланк!$I76)</f>
        <v/>
      </c>
      <c r="K60" s="219" t="str">
        <f>IF($J60="","",Прайс!$D$108*Просчет!$E60)</f>
        <v/>
      </c>
      <c r="L60" s="220" t="str">
        <f>IF(Бланк!$J76="","",Бланк!$J76/1000)</f>
        <v/>
      </c>
      <c r="M60" s="220" t="str">
        <f>IF(Бланк!$K76="","",Бланк!$K76)</f>
        <v/>
      </c>
      <c r="N60" s="195">
        <f t="shared" si="1"/>
        <v>0</v>
      </c>
      <c r="O60" s="221">
        <f>IF($G60="гладкий",IF($M60="","",IF(OR($M60="J № 1",$M60="J № 2",$M60="J № 2L",$M60="J № 2R"),$N60*Прайс!$D$45,IF(OR($M60="J № 3",$M60="J № 4",$M60="J № 5",$M60="J № 6",$M60="J № 7"),Прайс!$D$45*$E60,IF(OR($M60="J № 3L",$M60="J № 3R",$M60="J № 4L",$M60="J № 4R",$M60="J № 5L",$M60="J № 5R"),$N60/2*Прайс!$D$45,IF($M60="45 град.",$N60*Прайс!$D$42,0))))),0)</f>
        <v>0</v>
      </c>
      <c r="P60" s="220" t="str">
        <f>IF(Бланк!$L76="","",Бланк!$L76)</f>
        <v/>
      </c>
      <c r="Q60" s="220" t="str">
        <f>IF(Бланк!$M76="","",Бланк!$M76)</f>
        <v/>
      </c>
      <c r="R60" s="194">
        <f>IF($P60="",0,IF($Q60=$U60,0,IF($Q60="",0,IF(OR($G60=35,$G60=36,$G60=37,$G60=38),Прайс!$D$118*Бланк!E77,IF(AND($G60="гладкий",OR($M60="J № 1",$M60="J № 2",$M60="J № 2L",$M60="J № 2R")),$N60*Прайс!$D$59,0)))))</f>
        <v>0</v>
      </c>
      <c r="S60" s="220" t="str">
        <f>IF(OR(Бланк!$O76=0,Бланк!$O76=""),"",1)</f>
        <v/>
      </c>
      <c r="T60" s="220" t="str">
        <f>IF(Бланк!$R76="","",Бланк!$R76)</f>
        <v/>
      </c>
      <c r="U60" s="220" t="str">
        <f>IF(Бланк!$S76="","",Бланк!$S76)</f>
        <v/>
      </c>
      <c r="V60" s="220" t="str">
        <f>IF(Бланк!$T76="","",Бланк!$T76)</f>
        <v/>
      </c>
      <c r="W60" s="222" t="str">
        <f>IF(Бланк!$W76="","",Бланк!$W76)</f>
        <v/>
      </c>
      <c r="X60" s="223" t="str">
        <f>IF(Бланк!AB76="","",Бланк!AB76)</f>
        <v/>
      </c>
      <c r="Y60" s="223" t="str">
        <f>IF(Бланк!AC76="","",Бланк!AC76)</f>
        <v/>
      </c>
      <c r="Z60" s="221">
        <f>IF($G60="Гладкий",IF(OR($C60=0,$C60=""),0,IF(AND(OR($V60="Перли",$V60="Металік",$V60="Перл.зол.",$V60="Перл.ср.",$V60="Перл.зол.",$V60="Зор.н.ср.",$V60="Зор.н.зол.",$V60="Зор.н.різн.",$V60="Гума"),$F60=16),$AI60*Прайс!$F$12,IF(AND(OR($V60="",$V60=0),$X60="Матове",$F60=16),$AI60*Прайс!$F$10,IF(AND(OR($V60="",$V60=0),$X60="Глянець",$F60=16),$AI60*Прайс!$F$11,IF(AND(OR($V60="",$V60=0),$X60="Софт(TS)",$F60=16),$AI60*Прайс!#REF!,0))))),0)+IF($G60="Гладкий",0,IF(AND(OR($V60="Перли",$V60="Металік",$V60="Перл.зол.",$V60="Перл.ср.",$V60="Перл.зол.",$V60="Зор.н.ср.",$V60="Зор.н.зол.",$V60="Зор.н.різн.",$V60="Гума"),$F60=16,$H60=1),$AI60*Прайс!$H$76,IF(AND(OR($V60="",$V60=0),$X60="Матове",$F60=16,$H60=1),$AI60*Прайс!$H$73,IF(AND(OR($V60="",$V60=0),$X60="Глянець",$F60=16,$H60=1),$AI60*Прайс!$H$75,IF(AND(OR($V60="",$V60=0),$X60="Софт(TS)",$F60=16,$H60=1),$AI60*Прайс!$H$74,IF(AND(OR($V60="",$V60=0),$X60="Матове покриття з патиною",$F60=16,$H60=1),$AI60*Прайс!$H$77,IF(AND(OR($V60="",$V60=0),$X60="Глянцеве покриття з патиною",$F60=16,$H60=1),$AI60*Прайс!$H$78,IF(AND(OR($V60="",$V60=0),$X60="Матовий DECAPE",$F60=16,$H60=1),$AI60*Прайс!$H$79,IF(AND(OR($V60="",$V60=0),$X60="Глянцевий DECAPE",$F60=16,$H60=1),$AI60*Прайс!$H$80,0))))))))+IF($G60="Гладкий",0,IF(AND(OR($V60="Перли",$V60="Металік",$V60="Перл.зол.",$V60="Перл.ср.",$V60="Перл.зол.",$V60="Зор.н.ср.",$V60="Зор.н.зол.",$V60="Зор.н.різн.",$V60="Гума"),$F60=16,$H60=2),$AI60*Прайс!$I$76,IF(AND(OR($V60="",$V60=0),$X60="Матове",$F60=16,$H60=2),$AI60*Прайс!$I$73,IF(AND(OR($V60="",$V60=0),$X60="Глянець",$F60=16,$H60=2),$AI60*Прайс!$I$75,IF(AND(OR($V60="",$V60=0),$X60="Софт(TS)",$F60=16,$H60=2),$AI60*Прайс!$I$74,IF(AND(OR($V60="",$V60=0),$X60="Матове покриття з патиною",$F60=16,$H60=2),$AI60*Прайс!$I$77,IF(AND(OR($V60="",$V60=0),$X60="Глянцеве покриття з патиною",$F60=16,$H60=2),$AI60*Прайс!$I$78,IF(AND(OR($V60="",$V60=0),$X60="Матовий DECAPE",$F60=16,$H60=2),$AI60*Прайс!$I$79,IF(AND(OR($V60="",$V60=0),$X60="Глянцевий DECAPE",$F60=16,$H60=2),$AI60*Прайс!$I$80,0))))))))+IF(AND($S60=1,OR($H60=1,$H60=0),$X60=Прайс!$C$89,$F60=16),Просчет!$AI60*Прайс!$H$89,IF(AND($S60=1,OR($H60=1,$H60=0),$X60=Прайс!$C$90,$F60=16),Просчет!$AI60*Прайс!$H$90,IF(AND($S60=1,OR($H60=1,$H60=0),$X60=Прайс!$C$91,$F60=16),Просчет!$AI60*Прайс!$H$91,IF(AND($S60=1,OR($H60=1,$H60=0),$X60=Прайс!$C$92,$F60=16),Просчет!$AI60*Прайс!$H$92,0))))+IF(AND($S60=1,$H60=2,$X60=Прайс!$C$89,$F60=16),Просчет!$AI60*Прайс!$I$89,IF(AND($S60=1,$H60=2,$X60=Прайс!$C$90,$F60=16),Просчет!$AI60*Прайс!$I$90,IF(AND($S60=1,$H60=2,$X60=Прайс!$C$91,$F60=16),Просчет!$AI60*Прайс!$I$91,IF(AND($S60=1,$H60=2,$X60=Прайс!$C$92,$F60=16),Просчет!$AI60*Прайс!$I$92,0))))))</f>
        <v>0</v>
      </c>
      <c r="AA60" s="195">
        <f>IF($G60="Гладкий",IF(OR($C60=0,$C60=""),0,IF(AND(OR($V60="Перли",$V60="Металік",$V60="Перл.зол.",$V60="Перл.ср.",$V60="Перл.зол.",$V60="Зор.н.ср.",$V60="Зор.н.зол.",$V60="Зор.н.різн.",$V60="Гума"),$F60=19),$AI60*Прайс!$G$12,IF(AND(OR($V60="",$V60=0),$X60="Матове",$F60=19),$AI60*Прайс!$G$10,IF(AND(OR($V60="",$V60=0),$X60="Глянець",$F60=19),$AI60*Прайс!$G$11,IF(AND(OR($V60="",$V60=0),$X60="Софт(TS)",$F60=19),$AI60*Прайс!#REF!,0))))),0)+IF($G60="Гладкий",0,IF(AND(OR($V60="Перли",$V60="Металік",$V60="Перл.зол.",$V60="Перл.ср.",$V60="Перл.зол.",$V60="Зор.н.ср.",$V60="Зор.н.зол.",$V60="Зор.н.різн.",$V60="Гума"),$F60=19,$G60=1),$AI60*Прайс!$J$76,IF(AND(OR($V60="",$V60=0),$X60="Матове",$F60=19,$G60=1),$AI60*Прайс!$J$73,IF(AND(OR($V60="",$V60=0),$X60="Глянець",$F60=19,$G60=1),$AI60*Прайс!$J$75,IF(AND(OR($V60="",$V60=0),$X60="Софт(TS)",$F60=19,$G60=1),$AI60*Прайс!$J$74,IF(AND(OR($V60="",$V60=0),$X60="Матове покриття з патиною",$F60=19,$G60=1),$AI60*Прайс!$J$77,IF(AND(OR($V60="",$V60=0),$X60="Глянцеве покриття з патиною",$F60=19,$G60=1),$AI60*Прайс!$J$78,IF(AND(OR($V60="",$V60=0),$X60="Матовий DECAPE",$F60=19,$G60=1),$AI60*Прайс!$J$79,IF(AND(OR($V60="",$V60=0),$X60="Глянцевий DECAPE",$F60=19,$G60=1),$AI60*Прайс!$J$80,0)))))))))+IF($G60="Гладкий",0,IF(AND(OR($V60="Перли",$V60="Металік",$V60="Перл.зол.",$V60="Перл.ср.",$V60="Перл.зол.",$V60="Зор.н.ср.",$V60="Зор.н.зол.",$V60="Зор.н.різн.",$V60="Гума"),$F60=19,$G60=2),$AI60*Прайс!$K$76,IF(AND(OR($V60="",$V60=0),$X60="Матове",$F60=19,$G60=2),$AI60*Прайс!$K$73,IF(AND(OR($V60="",$V60=0),$X60="Глянець",$F60=19,$G60=2),$AI60*Прайс!$K$75,IF(AND(OR($V60="",$V60=0),$X60="Софт(TS)",$F60=19,$G60=2),$AI60*Прайс!$K$74,IF(AND(OR($V60="",$V60=0),$X60="Матове покриття з патиною",$F60=19,$G60=2),$AI60*Прайс!$K$77,IF(AND(OR($V60="",$V60=0),$X60="Глянцеве покриття з патиною",$F60=19,$G60=2),$AI60*Прайс!$K$78,IF(AND(OR($V60="",$V60=0),$X60="Матовий DECAPE",$F60=19,$G60=2),$AI60*Прайс!$K$79,IF(AND(OR($V60="",$V60=0),$X60="Глянцевий DECAPE",$F60=19,$G60=2),$AI60*Прайс!$K$80,0)))))))))+IF(AND($S60=1,OR($G60=1,$G60=0),$X60=Прайс!$C$89,$F60=19),$AI60*Прайс!$J$89,IF(AND($S60=1,OR($G60=1,$H60=0),$X60=Прайс!$C$90,$F60=19),$AI60*Прайс!$J$90,IF(AND($S60=1,OR($H60=1,$H60=0),$X60=Прайс!$C$91,$F60=19),$AI60*Прайс!$J$91,IF(AND($S60=1,OR($H60=1,$H60=0),$X60=Прайс!$C$92,$F60=19),$AI60*Прайс!$J$92,0))))+IF(OR($V60="",$V60=0),IF(AND($S60=1,$H60=2,$X60=Прайс!$C$89,$F60=19),$AI60*Прайс!$K$89,IF(AND($S60=1,$H60=2,$X60=Прайс!$C$90,$F60=19),$AI60*Прайс!$K$90,IF(AND($S60=1,$H60=2,$X60=Прайс!$C$91,$F60=19),$AI60*Прайс!$K$91,IF(AND($S60=1,$H60=2,$X60=Прайс!$C$92,$F60=19),$AI60*Прайс!$K$92,0)))))</f>
        <v>0</v>
      </c>
      <c r="AB60" s="195">
        <f>IF($G60="Гладкий",IF(OR($C60=0,$C60=""),0,IF($Y60="Матове",$AI60*(Прайс!$F$10-500),IF($Y60="Глянець",$AI60*(Прайс!$F$11-500),IF($Y60="Софт(TS)",$AI60*(Прайс!#REF!-500),0)))),0)+IF($G60="Гладкий",0,IF(AND($Y60="Матове",$H60=1),$AI60*Прайс!$H$73*0.5,IF(AND($Y60="Глянець",$H60=1),$AI60*Прайс!$H$75*0.5,IF(AND($Y60="Софт(TS)",$H60=1),$AI60*Прайс!$H$74*0.5,IF(AND($Y60="Матове покриття з патиною",$H60=1),$AI60*Прайс!$H$77*0.5,IF(AND($Y60="Глянцеве покриття з патиною",$H60=1),$AI60*Прайс!$H$77*0.5,IF(AND($Y60="Матовий DECAPE",$H60=1),$AI60*Прайс!$H$79*0.5,IF(AND($Y60="Глянцевий DECAPE",$H60=1),$AI60*Прайс!$H$80*0.5,0))))))))+IF($G60="Гладкий",0,IF(AND($Y60="Матове",$H60=2),$AI60*Прайс!$I$73*0.5,IF(AND($Y60="Глянець",$H60=2),$AI60*Прайс!$I$75*0.5,IF(AND($Y60="Софт(TS)",$H60=2),$AI60*Прайс!$I$74*0.5,IF(AND($Y60="Матове покриття з патиною",$H60=2),$AI60*Прайс!$I$77*0.5,IF(AND($Y60="Глянцеве покриття з патиною",$H60=2),$AI60*Прайс!$I$78*0.5,IF(AND($Y60="Матовий DECAPE",$H60=2),$AI60*Прайс!$I$79*0.5,IF(AND($Y60="Глянцевий DECAPE",$H60=2),$AI60*Прайс!$I$80*0.5,0))))))))+IF(AND($S60=1,OR($H60=1,$H60=0),$Y60=Прайс!$C$89),$AI60*Прайс!$H$89*0.5,IF(AND($S60=1,OR($H60=1,$H60=0),$Y60=Прайс!$C$90),$AI60*Прайс!$H$90*0.5,IF(AND($S60=1,OR($H60=1,$H60=0),$Y60=Прайс!$C$91),$AI60*Прайс!$H$91*0.5,IF(AND($S60=1,OR($H60=1,$H60=0),$Y60=Прайс!$C$92),$AI60*Прайс!$H$92*0.5,0))))+IF(AND($S60=1,$H60=2,$Y60=Прайс!$C$89),$AI60*Прайс!$I$89*0.5,IF(AND($S60=1,$H60=2,$Y60=Прайс!$C$90),$AI60*Прайс!$I$90*0.5,IF(AND($S60=1,$H60=2,$Y60=Прайс!$C$91),$AI60*Прайс!$I$91*0.5,IF(AND($S60=1,$H60=2,$Y60=Прайс!$C$92),$AI60*Прайс!$I$92*0.5,0))))</f>
        <v>0</v>
      </c>
      <c r="AC60" s="223" t="str">
        <f>IF(Бланк!AD76="","",Бланк!AD76)</f>
        <v/>
      </c>
      <c r="AD60" s="195">
        <f>IF(OR($AC60=0,$AC60=""),0,$AC60*Прайс!$D$111)</f>
        <v>0</v>
      </c>
      <c r="AE60" s="197" t="str">
        <f>IF(Бланк!AE76="","",Бланк!AE76)</f>
        <v/>
      </c>
      <c r="AF60" s="197" t="str">
        <f>IF(Бланк!AF76="","",Бланк!AF76)</f>
        <v/>
      </c>
      <c r="AG60" s="197" t="str">
        <f>IF(Бланк!AG76="","",Бланк!AG76)</f>
        <v/>
      </c>
      <c r="AH60" s="197" t="str">
        <f>IF(Бланк!AH76="","",Бланк!AH76)</f>
        <v/>
      </c>
      <c r="AI60" s="142" t="e">
        <f t="shared" si="2"/>
        <v>#VALUE!</v>
      </c>
      <c r="AJ60" s="225"/>
      <c r="AK60" s="225"/>
      <c r="AL60" s="225"/>
      <c r="AM60" s="225"/>
      <c r="AN60" s="225"/>
      <c r="AO60" s="225"/>
      <c r="AP60" s="225"/>
      <c r="AQ60" s="140"/>
    </row>
    <row r="61" spans="2:44" s="202" customFormat="1" ht="20.25" x14ac:dyDescent="0.3">
      <c r="B61" s="204" t="s">
        <v>6</v>
      </c>
      <c r="C61" s="179"/>
      <c r="D61" s="204"/>
      <c r="E61" s="204">
        <f>SUM(E56:E60)</f>
        <v>0</v>
      </c>
      <c r="F61" s="204"/>
      <c r="G61" s="204"/>
      <c r="H61" s="204"/>
      <c r="I61" s="204"/>
      <c r="J61" s="204">
        <f>SUM(J56:J60)</f>
        <v>0</v>
      </c>
      <c r="K61" s="208"/>
      <c r="L61" s="204">
        <f>SUMPRODUCT($E$72:$E$76,$L$72:$L$76)/1000</f>
        <v>0</v>
      </c>
      <c r="M61" s="204">
        <f>SUMIF($M$72:$M$76,"**",$E$72:$E$76)</f>
        <v>0</v>
      </c>
      <c r="N61" s="204"/>
      <c r="O61" s="204"/>
      <c r="P61" s="204"/>
      <c r="Q61" s="204"/>
      <c r="R61" s="204"/>
      <c r="S61" s="204"/>
      <c r="T61" s="204"/>
      <c r="U61" s="204"/>
      <c r="V61" s="204"/>
      <c r="W61" s="208"/>
      <c r="X61" s="204"/>
      <c r="Y61" s="225"/>
      <c r="Z61" s="225"/>
      <c r="AA61" s="225"/>
      <c r="AB61" s="225"/>
      <c r="AC61" s="144">
        <f>SUMPRODUCT($E$72:$E$76,$AM$72:$AM$76)</f>
        <v>0</v>
      </c>
      <c r="AD61" s="144"/>
      <c r="AE61" s="225"/>
      <c r="AF61" s="225"/>
      <c r="AG61" s="225"/>
      <c r="AH61" s="225"/>
      <c r="AI61" s="140" t="e">
        <f>SUM(AI56:AI60)</f>
        <v>#VALUE!</v>
      </c>
      <c r="AJ61" s="208"/>
      <c r="AK61" s="208"/>
      <c r="AL61" s="208"/>
      <c r="AM61" s="208"/>
      <c r="AN61" s="208"/>
      <c r="AO61" s="208"/>
      <c r="AP61" s="208"/>
      <c r="AQ61" s="209"/>
    </row>
    <row r="62" spans="2:44" ht="20.25" x14ac:dyDescent="0.3">
      <c r="B62" s="376" t="s">
        <v>13</v>
      </c>
      <c r="C62" s="377"/>
      <c r="D62" s="378"/>
      <c r="E62" s="226">
        <f>SUM(E50)+(E61)</f>
        <v>0</v>
      </c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156" t="e">
        <f>AI61</f>
        <v>#VALUE!</v>
      </c>
      <c r="AJ62" s="208"/>
      <c r="AK62" s="208"/>
      <c r="AL62" s="208"/>
      <c r="AM62" s="208"/>
      <c r="AN62" s="208"/>
      <c r="AO62" s="208"/>
      <c r="AP62" s="208"/>
      <c r="AQ62" s="209"/>
    </row>
    <row r="63" spans="2:44" ht="15.75" x14ac:dyDescent="0.25">
      <c r="B63" s="227"/>
      <c r="C63" s="227"/>
      <c r="D63" s="228"/>
      <c r="E63" s="228"/>
      <c r="F63" s="228"/>
      <c r="G63" s="229"/>
      <c r="H63" s="229"/>
      <c r="I63" s="229"/>
      <c r="J63" s="229"/>
      <c r="K63" s="229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5"/>
    </row>
    <row r="64" spans="2:44" ht="15.75" x14ac:dyDescent="0.25">
      <c r="B64" s="227"/>
      <c r="C64" s="227"/>
      <c r="D64" s="228"/>
      <c r="E64" s="228"/>
      <c r="F64" s="228"/>
      <c r="G64" s="229"/>
      <c r="H64" s="229"/>
      <c r="I64" s="229"/>
      <c r="J64" s="229"/>
      <c r="K64" s="229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/>
      <c r="AG64" s="231"/>
      <c r="AH64" s="231"/>
      <c r="AI64" s="231"/>
      <c r="AJ64" s="231"/>
      <c r="AK64" s="231"/>
      <c r="AL64" s="231"/>
      <c r="AM64" s="231"/>
      <c r="AN64" s="231"/>
      <c r="AO64" s="231"/>
      <c r="AP64" s="231"/>
      <c r="AQ64" s="211"/>
    </row>
    <row r="65" spans="2:43" ht="15.75" x14ac:dyDescent="0.25"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79"/>
      <c r="AI65" s="179"/>
      <c r="AJ65" s="179"/>
      <c r="AK65" s="179"/>
      <c r="AL65" s="179"/>
      <c r="AM65" s="179"/>
      <c r="AN65" s="179"/>
      <c r="AO65" s="179"/>
      <c r="AP65" s="179"/>
      <c r="AQ65" s="179"/>
    </row>
    <row r="66" spans="2:43" ht="15.75" x14ac:dyDescent="0.25">
      <c r="B66" s="179"/>
      <c r="C66" s="179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AG66" s="179"/>
      <c r="AH66" s="179"/>
      <c r="AI66" s="179"/>
      <c r="AJ66" s="179"/>
      <c r="AK66" s="179"/>
      <c r="AL66" s="179"/>
      <c r="AM66" s="179"/>
      <c r="AN66" s="179"/>
      <c r="AO66" s="179"/>
      <c r="AP66" s="179"/>
      <c r="AQ66" s="179"/>
    </row>
    <row r="67" spans="2:43" ht="15.75" x14ac:dyDescent="0.25">
      <c r="B67" s="232"/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3"/>
      <c r="N67" s="233"/>
      <c r="O67" s="233"/>
      <c r="P67" s="234"/>
      <c r="Q67" s="234"/>
      <c r="R67" s="233"/>
      <c r="S67" s="204"/>
      <c r="T67" s="205"/>
      <c r="U67" s="235"/>
      <c r="V67" s="235"/>
      <c r="AG67" s="236"/>
      <c r="AH67" s="237"/>
      <c r="AI67" s="236"/>
      <c r="AJ67" s="236"/>
      <c r="AK67" s="236"/>
      <c r="AL67" s="236"/>
      <c r="AM67" s="236"/>
      <c r="AN67" s="236"/>
      <c r="AO67" s="236"/>
      <c r="AP67" s="236"/>
    </row>
    <row r="68" spans="2:43" ht="15.75" x14ac:dyDescent="0.25">
      <c r="B68" s="233"/>
      <c r="C68" s="233"/>
      <c r="D68" s="233"/>
      <c r="E68" s="233"/>
      <c r="F68" s="233"/>
      <c r="G68" s="233"/>
      <c r="H68" s="233"/>
      <c r="I68" s="233"/>
      <c r="J68" s="233"/>
      <c r="K68" s="233"/>
      <c r="L68" s="233"/>
      <c r="M68" s="233"/>
      <c r="N68" s="233"/>
      <c r="O68" s="233"/>
      <c r="P68" s="234"/>
      <c r="Q68" s="234"/>
      <c r="R68" s="233"/>
      <c r="S68" s="204"/>
      <c r="T68" s="205"/>
      <c r="U68" s="235"/>
      <c r="V68" s="235"/>
      <c r="AG68" s="238"/>
      <c r="AH68" s="239"/>
      <c r="AI68" s="238"/>
      <c r="AJ68" s="238"/>
      <c r="AK68" s="238"/>
      <c r="AL68" s="238"/>
      <c r="AM68" s="239"/>
      <c r="AN68" s="236"/>
      <c r="AO68" s="236"/>
      <c r="AP68" s="236"/>
    </row>
    <row r="69" spans="2:43" ht="15.75" x14ac:dyDescent="0.25"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4"/>
      <c r="Q69" s="234"/>
      <c r="R69" s="233"/>
      <c r="S69" s="204"/>
      <c r="T69" s="205"/>
      <c r="U69" s="235"/>
      <c r="V69" s="235"/>
      <c r="AG69" s="238"/>
      <c r="AH69" s="239"/>
      <c r="AI69" s="238"/>
      <c r="AJ69" s="238"/>
      <c r="AK69" s="238"/>
      <c r="AL69" s="238"/>
      <c r="AM69" s="239"/>
      <c r="AN69" s="236"/>
      <c r="AO69" s="236"/>
      <c r="AP69" s="236"/>
    </row>
    <row r="70" spans="2:43" ht="15.75" x14ac:dyDescent="0.25">
      <c r="B70" s="232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4"/>
      <c r="Q70" s="234"/>
      <c r="R70" s="233"/>
      <c r="S70" s="204"/>
      <c r="T70" s="205"/>
      <c r="U70" s="235"/>
      <c r="V70" s="235"/>
      <c r="AG70" s="179"/>
      <c r="AH70" s="240"/>
      <c r="AI70" s="179"/>
      <c r="AJ70" s="179"/>
      <c r="AK70" s="179"/>
      <c r="AL70" s="179"/>
      <c r="AM70" s="240"/>
      <c r="AN70" s="236"/>
      <c r="AO70" s="236"/>
      <c r="AP70" s="236"/>
    </row>
    <row r="71" spans="2:43" ht="15.75" x14ac:dyDescent="0.25"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4"/>
      <c r="Q71" s="234"/>
      <c r="R71" s="233"/>
      <c r="S71" s="204"/>
      <c r="T71" s="205"/>
      <c r="U71" s="235"/>
      <c r="V71" s="235"/>
      <c r="AG71" s="227"/>
      <c r="AH71" s="239"/>
      <c r="AI71" s="227"/>
      <c r="AJ71" s="227"/>
      <c r="AK71" s="227"/>
      <c r="AL71" s="227"/>
      <c r="AM71" s="239"/>
      <c r="AN71" s="236"/>
      <c r="AO71" s="236"/>
      <c r="AP71" s="236"/>
    </row>
    <row r="72" spans="2:43" ht="15.75" x14ac:dyDescent="0.25"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4"/>
      <c r="Q72" s="234"/>
      <c r="R72" s="233"/>
      <c r="S72" s="204"/>
      <c r="T72" s="205"/>
      <c r="U72" s="235"/>
      <c r="V72" s="235"/>
      <c r="AG72" s="227"/>
      <c r="AH72" s="239"/>
      <c r="AI72" s="227"/>
      <c r="AJ72" s="227"/>
      <c r="AK72" s="227"/>
      <c r="AL72" s="227"/>
      <c r="AM72" s="239"/>
      <c r="AN72" s="236"/>
      <c r="AO72" s="236"/>
      <c r="AP72" s="236"/>
    </row>
    <row r="73" spans="2:43" ht="15.75" x14ac:dyDescent="0.25">
      <c r="B73" s="232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4"/>
      <c r="Q73" s="234"/>
      <c r="R73" s="233"/>
      <c r="S73" s="204"/>
      <c r="T73" s="205"/>
      <c r="U73" s="235"/>
      <c r="V73" s="235"/>
      <c r="AG73" s="227"/>
      <c r="AH73" s="144"/>
      <c r="AI73" s="227"/>
      <c r="AJ73" s="227"/>
      <c r="AK73" s="227"/>
      <c r="AL73" s="227"/>
      <c r="AM73" s="144"/>
      <c r="AN73" s="236"/>
      <c r="AO73" s="236"/>
      <c r="AP73" s="236"/>
    </row>
    <row r="74" spans="2:43" ht="15.75" x14ac:dyDescent="0.25"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4"/>
      <c r="Q74" s="234"/>
      <c r="R74" s="233"/>
      <c r="S74" s="204"/>
      <c r="T74" s="205"/>
      <c r="U74" s="235"/>
      <c r="V74" s="235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7"/>
    </row>
    <row r="75" spans="2:43" ht="15.75" x14ac:dyDescent="0.25"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4"/>
      <c r="Q75" s="234"/>
      <c r="R75" s="233"/>
      <c r="S75" s="204"/>
      <c r="T75" s="205"/>
      <c r="U75" s="235"/>
      <c r="V75" s="235"/>
      <c r="AG75" s="236"/>
      <c r="AH75" s="236"/>
      <c r="AI75" s="236"/>
      <c r="AJ75" s="236"/>
      <c r="AK75" s="236"/>
      <c r="AL75" s="236"/>
      <c r="AM75" s="236"/>
      <c r="AN75" s="236"/>
      <c r="AO75" s="236"/>
      <c r="AP75" s="236"/>
      <c r="AQ75" s="237"/>
    </row>
    <row r="76" spans="2:43" ht="15.75" x14ac:dyDescent="0.25"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4"/>
      <c r="Q76" s="234"/>
      <c r="R76" s="233"/>
      <c r="S76" s="204"/>
      <c r="T76" s="205"/>
      <c r="U76" s="235"/>
      <c r="V76" s="235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7"/>
    </row>
    <row r="77" spans="2:43" ht="15.75" x14ac:dyDescent="0.25"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4"/>
      <c r="Q77" s="234"/>
      <c r="R77" s="233"/>
      <c r="S77" s="204"/>
      <c r="T77" s="205"/>
      <c r="U77" s="235"/>
      <c r="V77" s="235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7"/>
    </row>
    <row r="78" spans="2:43" ht="15.75" x14ac:dyDescent="0.25"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4"/>
      <c r="Q78" s="234"/>
      <c r="R78" s="233"/>
      <c r="S78" s="204"/>
      <c r="T78" s="205"/>
      <c r="U78" s="235"/>
      <c r="V78" s="235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7"/>
    </row>
    <row r="79" spans="2:43" ht="15.75" x14ac:dyDescent="0.25">
      <c r="B79" s="232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4"/>
      <c r="Q79" s="234"/>
      <c r="R79" s="233"/>
      <c r="S79" s="204"/>
      <c r="T79" s="205"/>
      <c r="U79" s="235"/>
      <c r="V79" s="235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7"/>
    </row>
    <row r="80" spans="2:43" ht="15.75" x14ac:dyDescent="0.25">
      <c r="B80" s="232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4"/>
      <c r="Q80" s="234"/>
      <c r="R80" s="233"/>
      <c r="S80" s="204"/>
      <c r="T80" s="205"/>
      <c r="U80" s="235"/>
      <c r="V80" s="235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7"/>
    </row>
    <row r="81" spans="1:43" ht="15.75" x14ac:dyDescent="0.25"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4"/>
      <c r="Q81" s="234"/>
      <c r="R81" s="233"/>
      <c r="S81" s="204"/>
      <c r="T81" s="205"/>
      <c r="U81" s="235"/>
      <c r="V81" s="235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7"/>
    </row>
    <row r="82" spans="1:43" ht="15.75" x14ac:dyDescent="0.25"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4"/>
      <c r="Q82" s="234"/>
      <c r="R82" s="233"/>
      <c r="S82" s="204"/>
      <c r="T82" s="205"/>
      <c r="U82" s="235"/>
      <c r="V82" s="235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7"/>
    </row>
    <row r="83" spans="1:43" ht="15.75" x14ac:dyDescent="0.25"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4"/>
      <c r="Q83" s="234"/>
      <c r="R83" s="233"/>
      <c r="S83" s="204"/>
      <c r="T83" s="205"/>
      <c r="U83" s="235"/>
      <c r="V83" s="235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7"/>
    </row>
    <row r="84" spans="1:43" ht="15.75" x14ac:dyDescent="0.25"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4"/>
      <c r="Q84" s="234"/>
      <c r="R84" s="233"/>
      <c r="S84" s="204"/>
      <c r="T84" s="205"/>
      <c r="U84" s="235"/>
      <c r="V84" s="235"/>
      <c r="AG84" s="236"/>
      <c r="AH84" s="236"/>
      <c r="AI84" s="236"/>
      <c r="AJ84" s="236"/>
      <c r="AK84" s="236"/>
      <c r="AL84" s="236"/>
      <c r="AM84" s="236"/>
      <c r="AN84" s="236"/>
      <c r="AO84" s="236"/>
      <c r="AP84" s="236"/>
      <c r="AQ84" s="237"/>
    </row>
    <row r="85" spans="1:43" ht="47.25" x14ac:dyDescent="0.25">
      <c r="B85" s="232"/>
      <c r="C85" s="233"/>
      <c r="D85" s="233"/>
      <c r="E85" s="233"/>
      <c r="F85" s="233"/>
      <c r="G85" s="233"/>
      <c r="H85" s="233"/>
      <c r="I85" s="233"/>
      <c r="J85" s="233"/>
      <c r="K85" s="241" t="s">
        <v>227</v>
      </c>
      <c r="L85" s="241"/>
      <c r="M85" s="241" t="s">
        <v>5</v>
      </c>
      <c r="N85" s="242" t="s">
        <v>380</v>
      </c>
      <c r="O85" s="241" t="s">
        <v>6</v>
      </c>
      <c r="P85" s="234"/>
      <c r="Q85" s="234"/>
      <c r="R85" s="233"/>
      <c r="S85" s="204"/>
      <c r="T85" s="205"/>
      <c r="U85" s="235"/>
      <c r="V85" s="235"/>
      <c r="AG85" s="236"/>
      <c r="AH85" s="236"/>
      <c r="AI85" s="236"/>
      <c r="AJ85" s="236"/>
      <c r="AK85" s="236"/>
      <c r="AL85" s="236"/>
      <c r="AM85" s="236"/>
      <c r="AN85" s="236"/>
      <c r="AO85" s="236"/>
      <c r="AP85" s="236"/>
      <c r="AQ85" s="237"/>
    </row>
    <row r="86" spans="1:43" ht="15.75" x14ac:dyDescent="0.25">
      <c r="A86" s="163">
        <v>1</v>
      </c>
      <c r="B86" s="232" t="s">
        <v>381</v>
      </c>
      <c r="C86" s="232"/>
      <c r="D86" s="232"/>
      <c r="E86" s="232"/>
      <c r="F86" s="232"/>
      <c r="G86" s="232"/>
      <c r="H86" s="232"/>
      <c r="I86" s="232"/>
      <c r="J86" s="233" t="s">
        <v>376</v>
      </c>
      <c r="K86" s="243">
        <f>SUMIFS($AI$4:$AI$48,$V$4:$V$48,"",$X$4:$X$48,"Матове",$F$4:$F$48,16,$G$4:$G$48,"гладкий")+SUMIFS($AI$4:$AI$48,$V$4:$V$48,"",$X$4:$X$48,"Матове",$F$4:$F$48,10,$G$4:$G$48,"гладкий")+SUMIFS($AI$4:$AI$48,$V$4:$V$48,"",$X$4:$X$48,"Матове",$F$4:$F$48,4,$G$4:$G$48,"гладкий")+SUMIFS($AI$4:$AI$48,$V$4:$V$48,"",$X$4:$X$48,"Матове",$F$4:$F$48,6,$G$4:$G$48,"гладкий")+SUMIFS($AI$4:$AI$48,$V$4:$V$48,"",$X$4:$X$48,"Матове",$F$4:$F$48,8,$G$4:$G$48,"гладкий")</f>
        <v>0</v>
      </c>
      <c r="L86" s="244"/>
      <c r="M86" s="226">
        <f>Прайс!$D$10</f>
        <v>2550</v>
      </c>
      <c r="N86" s="245">
        <f>K86*M86</f>
        <v>0</v>
      </c>
      <c r="O86" s="244">
        <f>SUMIFS($T$14:$T$38,$P$14:$P$38,"Матове",$Q$14:$Q$38,"Відкрита пора",$F$14:$F$38,16,$R$14:$R$38,"Нема",$S$14:$S$38,"Ламінат",$O$14:$O$38,1)+SUMIFS($T$14:$T$38,$P$14:$P$38,"Матове",$Q$14:$Q$38,"Відкрита пора",$F$14:$F$38,10,$R$14:$R$38,"Нема",$S$14:$S$38,"Ламінат",$O$14:$O$38,1)+SUMIFS($T$14:$T$38,$P$14:$P$38,"Матове",$Q$14:$Q$38,"Відкрита пора",$F$14:$F$38,8,$R$14:$R$38,"Нема",$S$14:$S$38,"Ламінат",$O$14:$O$38,1)+SUMIFS($T$14:$T$38,$P$14:$P$38,"Матове",$Q$14:$Q$38,"Відкрита пора",$F$14:$F$38,6,$R$14:$R$38,"Нема",$S$14:$S$38,"Ламінат",$O$14:$O$38,1)+SUMIFS($T$14:$T$38,$P$14:$P$38,"Матове",$Q$14:$Q$38,"Відкрита пора",$F$14:$F$38,4,$R$14:$R$38,"Нема",$S$14:$S$38,"Ламінат",$O$14:$O$38,1)</f>
        <v>0</v>
      </c>
      <c r="P86" s="234"/>
      <c r="Q86" s="234"/>
      <c r="R86" s="233"/>
      <c r="S86" s="204"/>
      <c r="T86" s="205"/>
      <c r="U86" s="235"/>
      <c r="V86" s="235"/>
      <c r="AG86" s="236"/>
      <c r="AH86" s="236"/>
      <c r="AI86" s="236"/>
      <c r="AJ86" s="236"/>
      <c r="AK86" s="236"/>
      <c r="AL86" s="236"/>
      <c r="AM86" s="236"/>
      <c r="AN86" s="236"/>
      <c r="AO86" s="236"/>
      <c r="AP86" s="236"/>
      <c r="AQ86" s="237"/>
    </row>
    <row r="87" spans="1:43" ht="15.75" x14ac:dyDescent="0.25">
      <c r="A87" s="163">
        <v>2</v>
      </c>
      <c r="B87" s="233" t="s">
        <v>382</v>
      </c>
      <c r="C87" s="233"/>
      <c r="D87" s="233"/>
      <c r="E87" s="233"/>
      <c r="F87" s="233"/>
      <c r="G87" s="233"/>
      <c r="H87" s="233"/>
      <c r="I87" s="233"/>
      <c r="J87" s="233" t="s">
        <v>376</v>
      </c>
      <c r="K87" s="243">
        <f>SUMIFS($AI$4:$AI$48,$V$4:$V$48,"",$X$4:$X$48,"Матове",$F$4:$F$48,19,$G$4:$G$48,"гладкий")</f>
        <v>0</v>
      </c>
      <c r="L87" s="244"/>
      <c r="M87" s="226">
        <f>Прайс!$E$10</f>
        <v>2620</v>
      </c>
      <c r="N87" s="245">
        <f t="shared" ref="N87:N168" si="3">K87*M87</f>
        <v>0</v>
      </c>
      <c r="O87" s="244">
        <f>SUMIFS($T$14:$T$38,$P$14:$P$38,"Матове",$Q$14:$Q$38,"Відкрита пора",$F$14:$F$38,16,$R$14:$R$38,"Нема",$S$14:$S$38,"Ламінат",$O$14:$O$38,2)+SUMIFS($T$14:$T$38,$P$14:$P$38,"Матове",$Q$14:$Q$38,"Відкрита пора",$F$14:$F$38,10,$R$14:$R$38,"Нема",$S$14:$S$38,"Ламінат",$O$14:$O$38,2)+SUMIFS($T$14:$T$38,$P$14:$P$38,"Матове",$Q$14:$Q$38,"Відкрита пора",$F$14:$F$38,8,$R$14:$R$38,"Нема",$S$14:$S$38,"Ламінат",$O$14:$O$38,2)+SUMIFS($T$14:$T$38,$P$14:$P$38,"Матове",$Q$14:$Q$38,"Відкрита пора",$F$14:$F$38,6,$R$14:$R$38,"Нема",$S$14:$S$38,"Ламінат",$O$14:$O$38,2)+SUMIFS($T$14:$T$38,$P$14:$P$38,"Матове",$Q$14:$Q$38,"Відкрита пора",$F$14:$F$38,4,$R$14:$R$38,"Нема",$S$14:$S$38,"Ламінат",$O$14:$O$38,2)</f>
        <v>0</v>
      </c>
      <c r="P87" s="234"/>
      <c r="Q87" s="234"/>
      <c r="R87" s="233"/>
      <c r="S87" s="204"/>
      <c r="T87" s="205"/>
      <c r="U87" s="235"/>
      <c r="V87" s="235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7"/>
    </row>
    <row r="88" spans="1:43" ht="15.75" x14ac:dyDescent="0.25">
      <c r="A88" s="163">
        <v>3</v>
      </c>
      <c r="B88" s="341" t="s">
        <v>686</v>
      </c>
      <c r="C88" s="233"/>
      <c r="D88" s="233"/>
      <c r="E88" s="233"/>
      <c r="F88" s="233"/>
      <c r="G88" s="233"/>
      <c r="H88" s="233"/>
      <c r="I88" s="233"/>
      <c r="J88" s="233" t="s">
        <v>376</v>
      </c>
      <c r="K88" s="243">
        <f>SUMIFS($AI$4:$AI$48,$V$4:$V$48,"",$X$4:$X$48,"Матове",$F$4:$F$48,22,$G$4:$G$48,"гладкий")</f>
        <v>0</v>
      </c>
      <c r="L88" s="244"/>
      <c r="M88" s="226">
        <f>Прайс!$E$10+700</f>
        <v>3320</v>
      </c>
      <c r="N88" s="245">
        <f t="shared" si="3"/>
        <v>0</v>
      </c>
      <c r="O88" s="244"/>
      <c r="P88" s="234"/>
      <c r="Q88" s="234"/>
      <c r="R88" s="233"/>
      <c r="S88" s="204"/>
      <c r="T88" s="205"/>
      <c r="U88" s="235"/>
      <c r="V88" s="235"/>
      <c r="AG88" s="236"/>
      <c r="AH88" s="236"/>
      <c r="AI88" s="236"/>
      <c r="AJ88" s="236"/>
      <c r="AK88" s="236"/>
      <c r="AL88" s="236"/>
      <c r="AM88" s="236"/>
      <c r="AN88" s="236"/>
      <c r="AO88" s="236"/>
      <c r="AP88" s="236"/>
      <c r="AQ88" s="237"/>
    </row>
    <row r="89" spans="1:43" ht="15.75" x14ac:dyDescent="0.25">
      <c r="A89" s="163">
        <v>4</v>
      </c>
      <c r="B89" s="233" t="s">
        <v>383</v>
      </c>
      <c r="C89" s="233"/>
      <c r="D89" s="233"/>
      <c r="E89" s="233"/>
      <c r="F89" s="233"/>
      <c r="G89" s="233"/>
      <c r="H89" s="233"/>
      <c r="I89" s="233"/>
      <c r="J89" s="233" t="s">
        <v>376</v>
      </c>
      <c r="K89" s="243">
        <f>SUMIFS($AI$4:$AI$48,$Y$4:$Y$48,"Матове",$AB$4:$AB$48,"&gt;0",$G$4:$G$48,"гладкий")</f>
        <v>0</v>
      </c>
      <c r="L89" s="244"/>
      <c r="M89" s="226">
        <f>Прайс!$D$10-500</f>
        <v>2050</v>
      </c>
      <c r="N89" s="245">
        <f t="shared" si="3"/>
        <v>0</v>
      </c>
      <c r="O89" s="244">
        <f>SUMIFS($U$14:$U$38,$P$14:$P$38,"Матове",$Q$14:$Q$38,"Відкрита пора",$F$14:$F$38,19,$R$14:$R$38,"Нема",$S$14:$S$38,"Ламінат",$O$14:$O$38,1)</f>
        <v>0</v>
      </c>
      <c r="P89" s="234"/>
      <c r="Q89" s="234"/>
      <c r="R89" s="233"/>
      <c r="S89" s="204"/>
      <c r="T89" s="205"/>
      <c r="U89" s="235"/>
      <c r="V89" s="235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7"/>
    </row>
    <row r="90" spans="1:43" ht="15.75" x14ac:dyDescent="0.25">
      <c r="A90" s="163">
        <v>5</v>
      </c>
      <c r="B90" s="232" t="s">
        <v>384</v>
      </c>
      <c r="C90" s="233"/>
      <c r="D90" s="233"/>
      <c r="E90" s="233"/>
      <c r="F90" s="233"/>
      <c r="G90" s="233"/>
      <c r="H90" s="233"/>
      <c r="I90" s="233"/>
      <c r="J90" s="233" t="s">
        <v>376</v>
      </c>
      <c r="K90" s="243">
        <f>SUMIFS($AI$4:$AI$48,$V$4:$V$48,"",$X$4:$X$48,"Софт(TS)",$F$4:$F$48,16,$G$4:$G$48,"гладкий")+SUMIFS($AI$4:$AI$48,$V$4:$V$48,"",$X$4:$X$48,"Софт(TS)",$F$4:$F$48,10,$G$4:$G$48,"гладкий")+SUMIFS($AI$4:$AI$48,$V$4:$V$48,"",$X$4:$X$48,"Софт(TS)",$F$4:$F$48,4,$G$4:$G$48,"гладкий")+SUMIFS($AI$4:$AI$48,$V$4:$V$48,"",$X$4:$X$48,"Софт(TS)",$F$4:$F$48,6,$G$4:$G$48,"гладкий")+SUMIFS($AI$4:$AI$48,$V$4:$V$48,"",$X$4:$X$48,"Софт(TS)",$F$4:$F$48,8,$G$4:$G$48,"гладкий")</f>
        <v>0</v>
      </c>
      <c r="L90" s="244"/>
      <c r="M90" s="226">
        <f>Прайс!$D$11</f>
        <v>2550</v>
      </c>
      <c r="N90" s="245">
        <f t="shared" si="3"/>
        <v>0</v>
      </c>
      <c r="O90" s="244">
        <f>SUMIFS($U$14:$U$38,$P$14:$P$38,"Матове",$Q$14:$Q$38,"Відкрита пора",$F$14:$F$38,19,$R$14:$R$38,"Нема",$S$14:$S$38,"Ламінат",$O$14:$O$38,2)</f>
        <v>0</v>
      </c>
      <c r="P90" s="234"/>
      <c r="Q90" s="234"/>
      <c r="R90" s="233"/>
      <c r="S90" s="204"/>
      <c r="T90" s="205"/>
      <c r="U90" s="235"/>
      <c r="V90" s="235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7"/>
    </row>
    <row r="91" spans="1:43" ht="15.75" x14ac:dyDescent="0.25">
      <c r="A91" s="163">
        <v>6</v>
      </c>
      <c r="B91" s="233" t="s">
        <v>385</v>
      </c>
      <c r="C91" s="233"/>
      <c r="D91" s="233"/>
      <c r="E91" s="233"/>
      <c r="F91" s="233"/>
      <c r="G91" s="233"/>
      <c r="H91" s="233"/>
      <c r="I91" s="233"/>
      <c r="J91" s="233" t="s">
        <v>376</v>
      </c>
      <c r="K91" s="243">
        <f>SUMIFS($AI$4:$AI$48,$V$4:$V$48,"",$X$4:$X$48,"Софт(TS)",$F$4:$F$48,19,$G$4:$G$48,"гладкий")</f>
        <v>0</v>
      </c>
      <c r="L91" s="244"/>
      <c r="M91" s="226">
        <f>Прайс!$E$11</f>
        <v>2620</v>
      </c>
      <c r="N91" s="245">
        <f t="shared" si="3"/>
        <v>0</v>
      </c>
      <c r="O91" s="244">
        <f>SUMIFS($T$14:$T$38,$P$14:$P$38,"Матове",$Q$14:$Q$38,"Закрита пора",$F$14:$F$38,16,$R$14:$R$38,"Нема",$S$14:$S$38,"Ламінат",$O$14:$O$38,1)+SUMIFS($T$14:$T$38,$P$14:$P$38,"Матове",$Q$14:$Q$38,"Закрита пора",$F$14:$F$38,10,$R$14:$R$38,"Нема",$S$14:$S$38,"Ламінат",$O$14:$O$38,1)+SUMIFS($T$14:$T$38,$P$14:$P$38,"Матове",$Q$14:$Q$38,"Закрита пора",$F$14:$F$38,8,$R$14:$R$38,"Нема",$S$14:$S$38,"Ламінат",$O$14:$O$38,1)+SUMIFS($T$14:$T$38,$P$14:$P$38,"Матове",$Q$14:$Q$38,"Закрита пора",$F$14:$F$38,6,$R$14:$R$38,"Нема",$S$14:$S$38,"Ламінат",$O$14:$O$38,1)+SUMIFS($T$14:$T$38,$P$14:$P$38,"Матове",$Q$14:$Q$38,"Закрита пора",$F$14:$F$38,4,$R$14:$R$38,"Нема",$S$14:$S$38,"Ламінат",$O$14:$O$38,1)</f>
        <v>0</v>
      </c>
      <c r="P91" s="234"/>
      <c r="Q91" s="234"/>
      <c r="R91" s="233"/>
      <c r="S91" s="204"/>
      <c r="T91" s="205"/>
      <c r="U91" s="235"/>
      <c r="V91" s="235"/>
      <c r="AG91" s="236"/>
      <c r="AH91" s="236"/>
      <c r="AI91" s="236"/>
      <c r="AJ91" s="236"/>
      <c r="AK91" s="236"/>
      <c r="AL91" s="236"/>
      <c r="AM91" s="236"/>
      <c r="AN91" s="236"/>
      <c r="AO91" s="236"/>
      <c r="AP91" s="236"/>
      <c r="AQ91" s="237"/>
    </row>
    <row r="92" spans="1:43" ht="15.75" x14ac:dyDescent="0.25">
      <c r="A92" s="163">
        <v>7</v>
      </c>
      <c r="B92" s="341" t="s">
        <v>687</v>
      </c>
      <c r="C92" s="233"/>
      <c r="D92" s="233"/>
      <c r="E92" s="233"/>
      <c r="F92" s="233"/>
      <c r="G92" s="233"/>
      <c r="H92" s="233"/>
      <c r="I92" s="233"/>
      <c r="J92" s="233" t="s">
        <v>376</v>
      </c>
      <c r="K92" s="243">
        <f>SUMIFS($AI$4:$AI$48,$V$4:$V$48,"",$X$4:$X$48,"Софт(TS)",$F$4:$F$48,22,$G$4:$G$48,"гладкий")</f>
        <v>0</v>
      </c>
      <c r="L92" s="244"/>
      <c r="M92" s="226">
        <f>Прайс!$E$11+700</f>
        <v>3320</v>
      </c>
      <c r="N92" s="245">
        <f t="shared" si="3"/>
        <v>0</v>
      </c>
      <c r="O92" s="244"/>
      <c r="P92" s="234"/>
      <c r="Q92" s="234"/>
      <c r="R92" s="233"/>
      <c r="S92" s="204"/>
      <c r="T92" s="205"/>
      <c r="U92" s="235"/>
      <c r="V92" s="235"/>
      <c r="AG92" s="236"/>
      <c r="AH92" s="236"/>
      <c r="AI92" s="236"/>
      <c r="AJ92" s="236"/>
      <c r="AK92" s="236"/>
      <c r="AL92" s="236"/>
      <c r="AM92" s="236"/>
      <c r="AN92" s="236"/>
      <c r="AO92" s="236"/>
      <c r="AP92" s="236"/>
      <c r="AQ92" s="237"/>
    </row>
    <row r="93" spans="1:43" ht="15.75" x14ac:dyDescent="0.25">
      <c r="A93" s="163">
        <v>8</v>
      </c>
      <c r="B93" s="233" t="s">
        <v>386</v>
      </c>
      <c r="C93" s="233"/>
      <c r="D93" s="233"/>
      <c r="E93" s="233"/>
      <c r="F93" s="233"/>
      <c r="G93" s="233"/>
      <c r="H93" s="233"/>
      <c r="I93" s="233"/>
      <c r="J93" s="233" t="s">
        <v>376</v>
      </c>
      <c r="K93" s="243">
        <f>SUMIFS($AI$4:$AI$48,$Y$4:$Y$48,"Софт(TS)",$AB$4:$AB$48,"&gt;0",$G$4:$G$48,"гладкий")</f>
        <v>0</v>
      </c>
      <c r="L93" s="244"/>
      <c r="M93" s="226">
        <f>Прайс!$D$11-500</f>
        <v>2050</v>
      </c>
      <c r="N93" s="245">
        <f t="shared" si="3"/>
        <v>0</v>
      </c>
      <c r="O93" s="244">
        <f>SUMIFS($T$14:$T$38,$P$14:$P$38,"Матове",$Q$14:$Q$38,"Закрита пора",$F$14:$F$38,16,$R$14:$R$38,"Нема",$S$14:$S$38,"Ламінат",$O$14:$O$38,2)+SUMIFS($T$14:$T$38,$P$14:$P$38,"Матове",$Q$14:$Q$38,"Закрита пора",$F$14:$F$38,10,$R$14:$R$38,"Нема",$S$14:$S$38,"Ламінат",$O$14:$O$38,2)+SUMIFS($T$14:$T$38,$P$14:$P$38,"Матове",$Q$14:$Q$38,"Закрита пора",$F$14:$F$38,8,$R$14:$R$38,"Нема",$S$14:$S$38,"Ламінат",$O$14:$O$38,2)+SUMIFS($T$14:$T$38,$P$14:$P$38,"Матове",$Q$14:$Q$38,"Закрита пора",$F$14:$F$38,6,$R$14:$R$38,"Нема",$S$14:$S$38,"Ламінат",$O$14:$O$38,2)+SUMIFS($T$14:$T$38,$P$14:$P$38,"Матове",$Q$14:$Q$38,"Закрита пора",$F$14:$F$38,4,$R$14:$R$38,"Нема",$S$14:$S$38,"Ламінат",$O$14:$O$38,2)</f>
        <v>0</v>
      </c>
      <c r="P93" s="234"/>
      <c r="Q93" s="234"/>
      <c r="R93" s="233"/>
      <c r="S93" s="204"/>
      <c r="T93" s="205"/>
      <c r="U93" s="235"/>
      <c r="V93" s="235"/>
      <c r="AG93" s="236"/>
      <c r="AH93" s="236"/>
      <c r="AI93" s="236"/>
      <c r="AJ93" s="236"/>
      <c r="AK93" s="236"/>
      <c r="AL93" s="236"/>
      <c r="AM93" s="236"/>
      <c r="AN93" s="236"/>
      <c r="AO93" s="236"/>
      <c r="AP93" s="236"/>
      <c r="AQ93" s="237"/>
    </row>
    <row r="94" spans="1:43" s="261" customFormat="1" ht="15.75" x14ac:dyDescent="0.25">
      <c r="A94" s="163">
        <v>9</v>
      </c>
      <c r="B94" s="247" t="s">
        <v>387</v>
      </c>
      <c r="C94" s="248"/>
      <c r="D94" s="248"/>
      <c r="E94" s="248"/>
      <c r="F94" s="248"/>
      <c r="G94" s="248"/>
      <c r="H94" s="248"/>
      <c r="I94" s="248"/>
      <c r="J94" s="248" t="s">
        <v>376</v>
      </c>
      <c r="K94" s="298">
        <f>SUMIFS($AI$4:$AI$48,$V$4:$V$48,"",$X$4:$X$48,"Глянець",$F$4:$F$48,16,$G$4:$G$48,"гладкий")+SUMIFS($AI$4:$AI$48,$V$4:$V$48,"",$X$4:$X$48,"Глянець",$F$4:$F$48,10,$G$4:$G$48,"гладкий")+SUMIFS($AI$4:$AI$48,$V$4:$V$48,"",$X$4:$X$48,"Глянець",$F$4:$F$48,4,$G$4:$G$48,"гладкий")+SUMIFS($AI$4:$AI$48,$V$4:$V$48,"",$X$4:$X$48,"Глянець",$F$4:$F$48,6,$G$4:$G$48,"гладкий")+SUMIFS($AI$4:$AI$48,$V$4:$V$48,"",$X$4:$X$48,"Глянець",$F$4:$F$48,8,$G$4:$G$48,"гладкий")</f>
        <v>0</v>
      </c>
      <c r="L94" s="300"/>
      <c r="M94" s="301">
        <f>Прайс!$D$12</f>
        <v>3040</v>
      </c>
      <c r="N94" s="245">
        <f t="shared" si="3"/>
        <v>0</v>
      </c>
      <c r="O94" s="300">
        <f>SUMIFS($U$14:$U$38,$P$14:$P$38,"Матове",$Q$14:$Q$38,"Закрита пора",$F$14:$F$38,19,$R$14:$R$38,"Нема",$S$14:$S$38,"Ламінат",$O$14:$O$38,1)</f>
        <v>0</v>
      </c>
      <c r="P94" s="252"/>
      <c r="Q94" s="252"/>
      <c r="R94" s="248"/>
      <c r="S94" s="258"/>
      <c r="T94" s="259"/>
      <c r="U94" s="260"/>
      <c r="V94" s="260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263"/>
    </row>
    <row r="95" spans="1:43" s="261" customFormat="1" ht="15.75" x14ac:dyDescent="0.25">
      <c r="A95" s="163">
        <v>10</v>
      </c>
      <c r="B95" s="248" t="s">
        <v>388</v>
      </c>
      <c r="C95" s="248"/>
      <c r="D95" s="248"/>
      <c r="E95" s="248"/>
      <c r="F95" s="248"/>
      <c r="G95" s="248"/>
      <c r="H95" s="248"/>
      <c r="I95" s="248"/>
      <c r="J95" s="248" t="s">
        <v>376</v>
      </c>
      <c r="K95" s="298">
        <f>SUMIFS($AI$4:$AI$48,$V$4:$V$48,"",$X$4:$X$48,"Глянець",$F$4:$F$48,19,$G$4:$G$48,"гладкий")</f>
        <v>0</v>
      </c>
      <c r="L95" s="300"/>
      <c r="M95" s="301">
        <f>Прайс!$E$12</f>
        <v>3110</v>
      </c>
      <c r="N95" s="245">
        <f t="shared" si="3"/>
        <v>0</v>
      </c>
      <c r="O95" s="300">
        <f>SUMIFS($U$14:$U$38,$P$14:$P$38,"Матове",$Q$14:$Q$38,"Закрита пора",$F$14:$F$38,19,$R$14:$R$38,"Нема",$S$14:$S$38,"Ламінат",$O$14:$O$38,2)</f>
        <v>0</v>
      </c>
      <c r="P95" s="252"/>
      <c r="Q95" s="252"/>
      <c r="R95" s="248"/>
      <c r="S95" s="258"/>
      <c r="T95" s="259"/>
      <c r="U95" s="260"/>
      <c r="V95" s="260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263"/>
    </row>
    <row r="96" spans="1:43" s="261" customFormat="1" ht="15.75" x14ac:dyDescent="0.25">
      <c r="A96" s="163">
        <v>11</v>
      </c>
      <c r="B96" s="341" t="s">
        <v>688</v>
      </c>
      <c r="C96" s="248"/>
      <c r="D96" s="248"/>
      <c r="E96" s="248"/>
      <c r="F96" s="248"/>
      <c r="G96" s="248"/>
      <c r="H96" s="248"/>
      <c r="I96" s="248"/>
      <c r="J96" s="248" t="s">
        <v>376</v>
      </c>
      <c r="K96" s="298">
        <f>SUMIFS($AI$4:$AI$48,$V$4:$V$48,"",$X$4:$X$48,"Глянець",$F$4:$F$48,22,$G$4:$G$48,"гладкий")</f>
        <v>0</v>
      </c>
      <c r="L96" s="300"/>
      <c r="M96" s="301">
        <f>Прайс!$E$12+700</f>
        <v>3810</v>
      </c>
      <c r="N96" s="245">
        <f t="shared" si="3"/>
        <v>0</v>
      </c>
      <c r="O96" s="300"/>
      <c r="P96" s="252"/>
      <c r="Q96" s="252"/>
      <c r="R96" s="248"/>
      <c r="S96" s="258"/>
      <c r="T96" s="259"/>
      <c r="U96" s="260"/>
      <c r="V96" s="260"/>
      <c r="AG96" s="262"/>
      <c r="AH96" s="262"/>
      <c r="AI96" s="262"/>
      <c r="AJ96" s="262"/>
      <c r="AK96" s="262"/>
      <c r="AL96" s="262"/>
      <c r="AM96" s="262"/>
      <c r="AN96" s="262"/>
      <c r="AO96" s="262"/>
      <c r="AP96" s="262"/>
      <c r="AQ96" s="263"/>
    </row>
    <row r="97" spans="1:43" s="261" customFormat="1" ht="15.75" x14ac:dyDescent="0.25">
      <c r="A97" s="163">
        <v>12</v>
      </c>
      <c r="B97" s="248" t="s">
        <v>389</v>
      </c>
      <c r="C97" s="248"/>
      <c r="D97" s="248"/>
      <c r="E97" s="248"/>
      <c r="F97" s="248"/>
      <c r="G97" s="248"/>
      <c r="H97" s="248"/>
      <c r="I97" s="248"/>
      <c r="J97" s="248" t="s">
        <v>376</v>
      </c>
      <c r="K97" s="298">
        <f>SUMIFS($AI$4:$AI$48,$Y$4:$Y$48,"Глянець",$AB$4:$AB$48,"&gt;0",$G$4:$G$48,"гладкий")</f>
        <v>0</v>
      </c>
      <c r="L97" s="300"/>
      <c r="M97" s="301">
        <f>Прайс!$D$12-500</f>
        <v>2540</v>
      </c>
      <c r="N97" s="245">
        <f t="shared" si="3"/>
        <v>0</v>
      </c>
      <c r="O97" s="300">
        <f>SUMIFS($T$14:$T$38,$P$14:$P$38,"Глянець",$Q$14:$Q$38,"Закрита пора",$F$14:$F$38,16,$R$14:$R$38,"Нема",$S$14:$S$38,"Ламінат",$O$14:$O$38,1)+SUMIFS($T$14:$T$38,$P$14:$P$38,"Глянець",$Q$14:$Q$38,"Закрита пора",$F$14:$F$38,10,$R$14:$R$38,"Нема",$S$14:$S$38,"Ламінат",$O$14:$O$38,1)+SUMIFS($T$14:$T$38,$P$14:$P$38,"Глянець",$Q$14:$Q$38,"Закрита пора",$F$14:$F$38,8,$R$14:$R$38,"Нема",$S$14:$S$38,"Ламінат",$O$14:$O$38,1)+SUMIFS($T$14:$T$38,$P$14:$P$38,"Глянець",$Q$14:$Q$38,"Закрита пора",$F$14:$F$38,6,$R$14:$R$38,"Нема",$S$14:$S$38,"Ламінат",$O$14:$O$38,1)+SUMIFS($T$14:$T$38,$P$14:$P$38,"Глянець",$Q$14:$Q$38,"Закрита пора",$F$14:$F$38,4,$R$14:$R$38,"Нема",$S$14:$S$38,"Ламінат",$O$14:$O$38,1)</f>
        <v>0</v>
      </c>
      <c r="P97" s="252"/>
      <c r="Q97" s="252"/>
      <c r="R97" s="248"/>
      <c r="S97" s="258"/>
      <c r="T97" s="259"/>
      <c r="U97" s="260"/>
      <c r="V97" s="260"/>
      <c r="AG97" s="262"/>
      <c r="AH97" s="262"/>
      <c r="AI97" s="262"/>
      <c r="AJ97" s="262"/>
      <c r="AK97" s="262"/>
      <c r="AL97" s="262"/>
      <c r="AM97" s="262"/>
      <c r="AN97" s="262"/>
      <c r="AO97" s="262"/>
      <c r="AP97" s="262"/>
      <c r="AQ97" s="263"/>
    </row>
    <row r="98" spans="1:43" ht="15.75" x14ac:dyDescent="0.25">
      <c r="A98" s="163">
        <v>13</v>
      </c>
      <c r="B98" s="233" t="s">
        <v>555</v>
      </c>
      <c r="C98" s="233"/>
      <c r="D98" s="233"/>
      <c r="E98" s="233"/>
      <c r="F98" s="233"/>
      <c r="G98" s="233"/>
      <c r="H98" s="233"/>
      <c r="I98" s="233"/>
      <c r="J98" s="233" t="s">
        <v>376</v>
      </c>
      <c r="K98" s="243">
        <f>SUMIFS($AI$4:$AI$48,$V$4:$V$48,"Перл.ср.",$F$4:$F$48,16,$G$4:$G$48,"гладкий")+SUMIFS($AI$4:$AI$48,$V$4:$V$48,"Перл.ср.",$F$4:$F$48,10,$G$4:$G$48,"гладкий")+SUMIFS($AI$4:$AI$48,$V$4:$V$48,"Перл.ср.",$F$4:$F$48,4,$G$4:$G$48,"гладкий")+SUMIFS($AI$4:$AI$48,$V$4:$V$48,"Перл.ср.",$F$4:$F$48,6,$G$4:$G$48,"гладкий")+SUMIFS($AI$4:$AI$48,$V$4:$V$48,"Перл.ср.",$F$4:$F$48,8,$G$4:$G$48,"гладкий")+SUMIFS($AI$4:$AI$48,$V$4:$V$48,"Перл.зол.",$F$4:$F$48,16,$G$4:$G$48,"гладкий")+SUMIFS($AI$4:$AI$48,$V$4:$V$48,"Перл.зол.",$F$4:$F$48,10,$G$4:$G$48,"гладкий")+SUMIFS($AI$4:$AI$48,$V$4:$V$48,"Перл.зол.",$F$4:$F$48,4,$G$4:$G$48,"гладкий")+SUMIFS($AI$4:$AI$48,$V$4:$V$48,"Перл.зол.",$F$4:$F$48,6,$G$4:$G$48,"гладкий")+SUMIFS($AI$4:$AI$48,$V$4:$V$48,"Перл.зол.",$F$4:$F$48,8,$G$4:$G$48,"гладкий")</f>
        <v>0</v>
      </c>
      <c r="L98" s="244"/>
      <c r="M98" s="226">
        <f>Прайс!$D$13</f>
        <v>3250</v>
      </c>
      <c r="N98" s="245">
        <f t="shared" si="3"/>
        <v>0</v>
      </c>
      <c r="O98" s="244">
        <f>SUMIFS($T$14:$T$38,$P$14:$P$38,"Глянець",$Q$14:$Q$38,"Закрита пора",$F$14:$F$38,16,$R$14:$R$38,"Нема",$S$14:$S$38,"Ламінат",$O$14:$O$38,2)+SUMIFS($T$14:$T$38,$P$14:$P$38,"Глянець",$Q$14:$Q$38,"Закрита пора",$F$14:$F$38,10,$R$14:$R$38,"Нема",$S$14:$S$38,"Ламінат",$O$14:$O$38,2)+SUMIFS($T$14:$T$38,$P$14:$P$38,"Глянець",$Q$14:$Q$38,"Закрита пора",$F$14:$F$38,8,$R$14:$R$38,"Нема",$S$14:$S$38,"Ламінат",$O$14:$O$38,2)+SUMIFS($T$14:$T$38,$P$14:$P$38,"Глянець",$Q$14:$Q$38,"Закрита пора",$F$14:$F$38,6,$R$14:$R$38,"Нема",$S$14:$S$38,"Ламінат",$O$14:$O$38,2)+SUMIFS($T$14:$T$38,$P$14:$P$38,"Глянець",$Q$14:$Q$38,"Закрита пора",$F$14:$F$38,4,$R$14:$R$38,"Нема",$S$14:$S$38,"Ламінат",$O$14:$O$38,2)</f>
        <v>0</v>
      </c>
      <c r="P98" s="234"/>
      <c r="Q98" s="234"/>
      <c r="R98" s="233"/>
      <c r="S98" s="204"/>
      <c r="T98" s="205"/>
      <c r="U98" s="235"/>
      <c r="V98" s="235"/>
      <c r="AG98" s="236"/>
      <c r="AH98" s="236"/>
      <c r="AI98" s="236"/>
      <c r="AJ98" s="236"/>
      <c r="AK98" s="236"/>
      <c r="AL98" s="236"/>
      <c r="AM98" s="236"/>
      <c r="AN98" s="236"/>
      <c r="AO98" s="236"/>
      <c r="AP98" s="236"/>
      <c r="AQ98" s="237"/>
    </row>
    <row r="99" spans="1:43" ht="15.75" x14ac:dyDescent="0.25">
      <c r="A99" s="163">
        <v>14</v>
      </c>
      <c r="B99" s="233" t="s">
        <v>556</v>
      </c>
      <c r="C99" s="233"/>
      <c r="D99" s="233"/>
      <c r="E99" s="233"/>
      <c r="F99" s="233"/>
      <c r="G99" s="233"/>
      <c r="H99" s="233"/>
      <c r="I99" s="233"/>
      <c r="J99" s="233" t="s">
        <v>376</v>
      </c>
      <c r="K99" s="243">
        <f>SUMIFS($AI$4:$AI$48,$V$4:$V$48,"Перл.ср.",$F$4:$F$48,19,$G$4:$G$48,"гладкий")+SUMIFS($AI$4:$AI$48,$V$4:$V$48,"Перл.зол.",$F$4:$F$48,19,$G$4:$G$48,"гладкий")</f>
        <v>0</v>
      </c>
      <c r="L99" s="244"/>
      <c r="M99" s="226">
        <f>Прайс!$E$13</f>
        <v>3320</v>
      </c>
      <c r="N99" s="245">
        <f t="shared" si="3"/>
        <v>0</v>
      </c>
      <c r="O99" s="244">
        <f>SUMIFS($U$14:$U$38,$P$14:$P$38,"Глянець",$Q$14:$Q$38,"Закрита пора",$F$14:$F$38,19,$R$14:$R$38,"Нема",$S$14:$S$38,"Ламінат",$O$14:$O$38,1)</f>
        <v>0</v>
      </c>
      <c r="P99" s="234"/>
      <c r="Q99" s="234"/>
      <c r="R99" s="233"/>
      <c r="S99" s="204"/>
      <c r="T99" s="205"/>
      <c r="U99" s="235"/>
      <c r="V99" s="235"/>
      <c r="AG99" s="236"/>
      <c r="AH99" s="236"/>
      <c r="AI99" s="236"/>
      <c r="AJ99" s="236"/>
      <c r="AK99" s="236"/>
      <c r="AL99" s="236"/>
      <c r="AM99" s="236"/>
      <c r="AN99" s="236"/>
      <c r="AO99" s="236"/>
      <c r="AP99" s="236"/>
      <c r="AQ99" s="237"/>
    </row>
    <row r="100" spans="1:43" ht="15.75" x14ac:dyDescent="0.25">
      <c r="A100" s="163">
        <v>15</v>
      </c>
      <c r="B100" s="341" t="s">
        <v>689</v>
      </c>
      <c r="C100" s="233"/>
      <c r="D100" s="233"/>
      <c r="E100" s="233"/>
      <c r="F100" s="233"/>
      <c r="G100" s="233"/>
      <c r="H100" s="233"/>
      <c r="I100" s="233"/>
      <c r="J100" s="233" t="s">
        <v>376</v>
      </c>
      <c r="K100" s="243">
        <f>SUMIFS($AI$4:$AI$48,$V$4:$V$48,"Перл.ср.",$F$4:$F$48,22,$G$4:$G$48,"гладкий")+SUMIFS($AI$4:$AI$48,$V$4:$V$48,"Перл.зол.",$F$4:$F$48,22,$G$4:$G$48,"гладкий")</f>
        <v>0</v>
      </c>
      <c r="L100" s="244"/>
      <c r="M100" s="226">
        <f>Прайс!$E$13+700</f>
        <v>4020</v>
      </c>
      <c r="N100" s="245">
        <f t="shared" si="3"/>
        <v>0</v>
      </c>
      <c r="O100" s="244"/>
      <c r="P100" s="234"/>
      <c r="Q100" s="234"/>
      <c r="R100" s="233"/>
      <c r="S100" s="204"/>
      <c r="T100" s="205"/>
      <c r="U100" s="235"/>
      <c r="V100" s="235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7"/>
    </row>
    <row r="101" spans="1:43" ht="15.75" x14ac:dyDescent="0.25">
      <c r="A101" s="163">
        <v>16</v>
      </c>
      <c r="B101" s="233" t="s">
        <v>557</v>
      </c>
      <c r="C101" s="233"/>
      <c r="D101" s="233"/>
      <c r="E101" s="233"/>
      <c r="F101" s="233"/>
      <c r="G101" s="233"/>
      <c r="H101" s="233"/>
      <c r="I101" s="233"/>
      <c r="J101" s="233" t="s">
        <v>376</v>
      </c>
      <c r="K101" s="243"/>
      <c r="L101" s="244"/>
      <c r="M101" s="226"/>
      <c r="N101" s="245">
        <f t="shared" si="3"/>
        <v>0</v>
      </c>
      <c r="O101" s="244">
        <f>SUMIFS($U$14:$U$38,$P$14:$P$38,"Глянець",$Q$14:$Q$38,"Закрита пора",$F$14:$F$38,19,$R$14:$R$38,"Нема",$S$14:$S$38,"Ламінат",$O$14:$O$38,2)</f>
        <v>0</v>
      </c>
      <c r="P101" s="234"/>
      <c r="Q101" s="234"/>
      <c r="R101" s="233"/>
      <c r="S101" s="204"/>
      <c r="T101" s="205"/>
      <c r="U101" s="235"/>
      <c r="V101" s="235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7"/>
    </row>
    <row r="102" spans="1:43" s="261" customFormat="1" ht="15.75" x14ac:dyDescent="0.25">
      <c r="A102" s="163">
        <v>17</v>
      </c>
      <c r="B102" s="248" t="s">
        <v>558</v>
      </c>
      <c r="C102" s="248"/>
      <c r="D102" s="248"/>
      <c r="E102" s="248"/>
      <c r="F102" s="248"/>
      <c r="G102" s="248"/>
      <c r="H102" s="248"/>
      <c r="I102" s="248"/>
      <c r="J102" s="248" t="s">
        <v>376</v>
      </c>
      <c r="K102" s="243">
        <f>SUMIFS($AI$4:$AI$48,$V$4:$V$48,"Гума",$F$4:$F$48,16,$G$4:$G$48,"гладкий")+SUMIFS($AI$4:$AI$48,$V$4:$V$48,"Гума",$F$4:$F$48,10,$G$4:$G$48,"гладкий")+SUMIFS($AI$4:$AI$48,$V$4:$V$48,"Гума",$F$4:$F$48,4,$G$4:$G$48,"гладкий")+SUMIFS($AI$4:$AI$48,$V$4:$V$48,"Гума",$F$4:$F$48,6,$G$4:$G$48,"гладкий")+SUMIFS($AI$4:$AI$48,$V$4:$V$48,"Гума",$F$4:$F$48,8,$G$4:$G$48,"гладкий")</f>
        <v>0</v>
      </c>
      <c r="L102" s="300"/>
      <c r="M102" s="301">
        <f>Прайс!$D$14</f>
        <v>3110</v>
      </c>
      <c r="N102" s="245">
        <f t="shared" si="3"/>
        <v>0</v>
      </c>
      <c r="O102" s="300"/>
      <c r="P102" s="252"/>
      <c r="Q102" s="252"/>
      <c r="R102" s="248"/>
      <c r="S102" s="258"/>
      <c r="T102" s="259"/>
      <c r="U102" s="260"/>
      <c r="V102" s="260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62"/>
      <c r="AQ102" s="263"/>
    </row>
    <row r="103" spans="1:43" s="261" customFormat="1" ht="15.75" x14ac:dyDescent="0.25">
      <c r="A103" s="163">
        <v>18</v>
      </c>
      <c r="B103" s="248" t="s">
        <v>559</v>
      </c>
      <c r="C103" s="248"/>
      <c r="D103" s="248"/>
      <c r="E103" s="248"/>
      <c r="F103" s="248"/>
      <c r="G103" s="248"/>
      <c r="H103" s="248"/>
      <c r="I103" s="248"/>
      <c r="J103" s="248" t="s">
        <v>376</v>
      </c>
      <c r="K103" s="243">
        <f>SUMIFS($AI$4:$AI$48,$V$4:$V$48,"Гума",$F$4:$F$48,19,$G$4:$G$48,"гладкий")</f>
        <v>0</v>
      </c>
      <c r="L103" s="300"/>
      <c r="M103" s="301">
        <f>Прайс!$E$14</f>
        <v>3180</v>
      </c>
      <c r="N103" s="245">
        <f t="shared" si="3"/>
        <v>0</v>
      </c>
      <c r="O103" s="300"/>
      <c r="P103" s="252"/>
      <c r="Q103" s="252"/>
      <c r="R103" s="248"/>
      <c r="S103" s="258"/>
      <c r="T103" s="259"/>
      <c r="U103" s="260"/>
      <c r="V103" s="260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62"/>
      <c r="AQ103" s="263"/>
    </row>
    <row r="104" spans="1:43" s="261" customFormat="1" ht="15.75" x14ac:dyDescent="0.25">
      <c r="A104" s="163">
        <v>19</v>
      </c>
      <c r="B104" s="341" t="s">
        <v>690</v>
      </c>
      <c r="C104" s="248"/>
      <c r="D104" s="248"/>
      <c r="E104" s="248"/>
      <c r="F104" s="248"/>
      <c r="G104" s="248"/>
      <c r="H104" s="248"/>
      <c r="I104" s="248"/>
      <c r="J104" s="248" t="s">
        <v>376</v>
      </c>
      <c r="K104" s="243">
        <f>SUMIFS($AI$4:$AI$48,$V$4:$V$48,"Гума",$F$4:$F$48,22,$G$4:$G$48,"гладкий")</f>
        <v>0</v>
      </c>
      <c r="L104" s="300"/>
      <c r="M104" s="301">
        <f>Прайс!$E$14+700</f>
        <v>3880</v>
      </c>
      <c r="N104" s="245">
        <f t="shared" si="3"/>
        <v>0</v>
      </c>
      <c r="O104" s="300"/>
      <c r="P104" s="252"/>
      <c r="Q104" s="252"/>
      <c r="R104" s="248"/>
      <c r="S104" s="258"/>
      <c r="T104" s="259"/>
      <c r="U104" s="260"/>
      <c r="V104" s="260"/>
      <c r="AG104" s="262"/>
      <c r="AH104" s="262"/>
      <c r="AI104" s="262"/>
      <c r="AJ104" s="262"/>
      <c r="AK104" s="262"/>
      <c r="AL104" s="262"/>
      <c r="AM104" s="262"/>
      <c r="AN104" s="262"/>
      <c r="AO104" s="262"/>
      <c r="AP104" s="262"/>
      <c r="AQ104" s="263"/>
    </row>
    <row r="105" spans="1:43" s="261" customFormat="1" ht="15.75" x14ac:dyDescent="0.25">
      <c r="A105" s="163">
        <v>20</v>
      </c>
      <c r="B105" s="248" t="s">
        <v>560</v>
      </c>
      <c r="C105" s="248"/>
      <c r="D105" s="248"/>
      <c r="E105" s="248"/>
      <c r="F105" s="248"/>
      <c r="G105" s="248"/>
      <c r="H105" s="248"/>
      <c r="I105" s="248"/>
      <c r="J105" s="248" t="s">
        <v>376</v>
      </c>
      <c r="K105" s="243"/>
      <c r="L105" s="300"/>
      <c r="M105" s="301"/>
      <c r="N105" s="245">
        <f t="shared" si="3"/>
        <v>0</v>
      </c>
      <c r="O105" s="300"/>
      <c r="P105" s="252"/>
      <c r="Q105" s="252"/>
      <c r="R105" s="248"/>
      <c r="S105" s="258"/>
      <c r="T105" s="259"/>
      <c r="U105" s="260"/>
      <c r="V105" s="260"/>
      <c r="AG105" s="262"/>
      <c r="AH105" s="262"/>
      <c r="AI105" s="262"/>
      <c r="AJ105" s="262"/>
      <c r="AK105" s="262"/>
      <c r="AL105" s="262"/>
      <c r="AM105" s="262"/>
      <c r="AN105" s="262"/>
      <c r="AO105" s="262"/>
      <c r="AP105" s="262"/>
      <c r="AQ105" s="263"/>
    </row>
    <row r="106" spans="1:43" ht="15.75" x14ac:dyDescent="0.25">
      <c r="A106" s="163">
        <v>21</v>
      </c>
      <c r="B106" s="233" t="s">
        <v>561</v>
      </c>
      <c r="C106" s="233"/>
      <c r="D106" s="233"/>
      <c r="E106" s="233"/>
      <c r="F106" s="233"/>
      <c r="G106" s="233"/>
      <c r="H106" s="233"/>
      <c r="I106" s="233"/>
      <c r="J106" s="233" t="s">
        <v>376</v>
      </c>
      <c r="K106" s="243">
        <f>SUMIFS($AI$4:$AI$48,$V$4:$V$48,"Металік",$F$4:$F$48,16,$G$4:$G$48,"гладкий")+SUMIFS($AI$4:$AI$48,$V$4:$V$48,"Металік",$F$4:$F$48,10,$G$4:$G$48,"гладкий")+SUMIFS($AI$4:$AI$48,$V$4:$V$48,"Металік",$F$4:$F$48,4,$G$4:$G$48,"гладкий")+SUMIFS($AI$4:$AI$48,$V$4:$V$48,"Металік",$F$4:$F$48,6,$G$4:$G$48,"гладкий")+SUMIFS($AI$4:$AI$48,$V$4:$V$48,"Металік",$F$4:$F$48,8,$G$4:$G$48,"гладкий")</f>
        <v>0</v>
      </c>
      <c r="L106" s="244"/>
      <c r="M106" s="226">
        <f>Прайс!$D$15</f>
        <v>3810</v>
      </c>
      <c r="N106" s="245">
        <f t="shared" si="3"/>
        <v>0</v>
      </c>
      <c r="O106" s="244"/>
      <c r="P106" s="234"/>
      <c r="Q106" s="234"/>
      <c r="R106" s="233"/>
      <c r="S106" s="204"/>
      <c r="T106" s="205"/>
      <c r="U106" s="235"/>
      <c r="V106" s="235"/>
      <c r="AG106" s="236"/>
      <c r="AH106" s="236"/>
      <c r="AI106" s="236"/>
      <c r="AJ106" s="236"/>
      <c r="AK106" s="236"/>
      <c r="AL106" s="236"/>
      <c r="AM106" s="236"/>
      <c r="AN106" s="236"/>
      <c r="AO106" s="236"/>
      <c r="AP106" s="236"/>
      <c r="AQ106" s="237"/>
    </row>
    <row r="107" spans="1:43" ht="15.75" x14ac:dyDescent="0.25">
      <c r="A107" s="163">
        <v>22</v>
      </c>
      <c r="B107" s="233" t="s">
        <v>562</v>
      </c>
      <c r="C107" s="233"/>
      <c r="D107" s="233"/>
      <c r="E107" s="233"/>
      <c r="F107" s="233"/>
      <c r="G107" s="233"/>
      <c r="H107" s="233"/>
      <c r="I107" s="233"/>
      <c r="J107" s="233" t="s">
        <v>376</v>
      </c>
      <c r="K107" s="243">
        <f>SUMIFS($AI$4:$AI$48,$V$4:$V$48,"Металік",$F$4:$F$48,19,$G$4:$G$48,"гладкий")</f>
        <v>0</v>
      </c>
      <c r="L107" s="244"/>
      <c r="M107" s="226">
        <f>Прайс!$E$15</f>
        <v>3880</v>
      </c>
      <c r="N107" s="245">
        <f t="shared" si="3"/>
        <v>0</v>
      </c>
      <c r="O107" s="244"/>
      <c r="P107" s="234"/>
      <c r="Q107" s="234"/>
      <c r="R107" s="233"/>
      <c r="S107" s="204"/>
      <c r="T107" s="205"/>
      <c r="U107" s="235"/>
      <c r="V107" s="235"/>
      <c r="AG107" s="236"/>
      <c r="AH107" s="236"/>
      <c r="AI107" s="236"/>
      <c r="AJ107" s="236"/>
      <c r="AK107" s="236"/>
      <c r="AL107" s="236"/>
      <c r="AM107" s="236"/>
      <c r="AN107" s="236"/>
      <c r="AO107" s="236"/>
      <c r="AP107" s="236"/>
      <c r="AQ107" s="237"/>
    </row>
    <row r="108" spans="1:43" ht="15.75" x14ac:dyDescent="0.25">
      <c r="A108" s="163">
        <v>23</v>
      </c>
      <c r="B108" s="341" t="s">
        <v>691</v>
      </c>
      <c r="C108" s="233"/>
      <c r="D108" s="233"/>
      <c r="E108" s="233"/>
      <c r="F108" s="233"/>
      <c r="G108" s="233"/>
      <c r="H108" s="233"/>
      <c r="I108" s="233"/>
      <c r="J108" s="233" t="s">
        <v>376</v>
      </c>
      <c r="K108" s="243">
        <f>SUMIFS($AI$4:$AI$48,$V$4:$V$48,"Металік",$F$4:$F$48,22,$G$4:$G$48,"гладкий")</f>
        <v>0</v>
      </c>
      <c r="L108" s="244"/>
      <c r="M108" s="226">
        <f>Прайс!$E$15+700</f>
        <v>4580</v>
      </c>
      <c r="N108" s="245">
        <f t="shared" si="3"/>
        <v>0</v>
      </c>
      <c r="O108" s="244"/>
      <c r="P108" s="234"/>
      <c r="Q108" s="234"/>
      <c r="R108" s="233"/>
      <c r="S108" s="204"/>
      <c r="T108" s="205"/>
      <c r="U108" s="235"/>
      <c r="V108" s="235"/>
      <c r="AG108" s="236"/>
      <c r="AH108" s="236"/>
      <c r="AI108" s="236"/>
      <c r="AJ108" s="236"/>
      <c r="AK108" s="236"/>
      <c r="AL108" s="236"/>
      <c r="AM108" s="236"/>
      <c r="AN108" s="236"/>
      <c r="AO108" s="236"/>
      <c r="AP108" s="236"/>
      <c r="AQ108" s="237"/>
    </row>
    <row r="109" spans="1:43" ht="15.75" x14ac:dyDescent="0.25">
      <c r="A109" s="163">
        <v>24</v>
      </c>
      <c r="B109" s="233" t="s">
        <v>563</v>
      </c>
      <c r="C109" s="233"/>
      <c r="D109" s="233"/>
      <c r="E109" s="233"/>
      <c r="F109" s="233"/>
      <c r="G109" s="233"/>
      <c r="H109" s="233"/>
      <c r="I109" s="233"/>
      <c r="J109" s="233" t="s">
        <v>376</v>
      </c>
      <c r="K109" s="243"/>
      <c r="L109" s="244"/>
      <c r="M109" s="226"/>
      <c r="N109" s="245">
        <f t="shared" si="3"/>
        <v>0</v>
      </c>
      <c r="O109" s="244"/>
      <c r="P109" s="234"/>
      <c r="Q109" s="234"/>
      <c r="R109" s="233"/>
      <c r="S109" s="204"/>
      <c r="T109" s="205"/>
      <c r="U109" s="235"/>
      <c r="V109" s="235"/>
      <c r="AG109" s="236"/>
      <c r="AH109" s="236"/>
      <c r="AI109" s="236"/>
      <c r="AJ109" s="236"/>
      <c r="AK109" s="236"/>
      <c r="AL109" s="236"/>
      <c r="AM109" s="236"/>
      <c r="AN109" s="236"/>
      <c r="AO109" s="236"/>
      <c r="AP109" s="236"/>
      <c r="AQ109" s="237"/>
    </row>
    <row r="110" spans="1:43" s="261" customFormat="1" ht="15.75" x14ac:dyDescent="0.25">
      <c r="A110" s="163">
        <v>25</v>
      </c>
      <c r="B110" s="248" t="s">
        <v>564</v>
      </c>
      <c r="C110" s="248"/>
      <c r="D110" s="248"/>
      <c r="E110" s="248"/>
      <c r="F110" s="248"/>
      <c r="G110" s="248"/>
      <c r="H110" s="248"/>
      <c r="I110" s="248"/>
      <c r="J110" s="248" t="s">
        <v>376</v>
      </c>
      <c r="K110" s="243">
        <f>SUMIFS($AI$4:$AI$48,$V$4:$V$48,"Рідке скло",$F$4:$F$48,16,$G$4:$G$48,"гладкий")+SUMIFS($AI$4:$AI$48,$V$4:$V$48,"Рідке скло",$F$4:$F$48,10,$G$4:$G$48,"гладкий")+SUMIFS($AI$4:$AI$48,$V$4:$V$48,"Рідке скло",$F$4:$F$48,4,$G$4:$G$48,"гладкий")+SUMIFS($AI$4:$AI$48,$V$4:$V$48,"Рідке скло",$F$4:$F$48,6,$G$4:$G$48,"гладкий")+SUMIFS($AI$4:$AI$48,$V$4:$V$48,"Рідке скло",$F$4:$F$48,8,$G$4:$G$48,"гладкий")</f>
        <v>0</v>
      </c>
      <c r="L110" s="300"/>
      <c r="M110" s="301">
        <f>Прайс!$D$16</f>
        <v>3390</v>
      </c>
      <c r="N110" s="245">
        <f t="shared" si="3"/>
        <v>0</v>
      </c>
      <c r="O110" s="300"/>
      <c r="P110" s="252"/>
      <c r="Q110" s="252"/>
      <c r="R110" s="248"/>
      <c r="S110" s="258"/>
      <c r="T110" s="259"/>
      <c r="U110" s="260"/>
      <c r="V110" s="260"/>
      <c r="AG110" s="262"/>
      <c r="AH110" s="262"/>
      <c r="AI110" s="262"/>
      <c r="AJ110" s="262"/>
      <c r="AK110" s="262"/>
      <c r="AL110" s="262"/>
      <c r="AM110" s="262"/>
      <c r="AN110" s="262"/>
      <c r="AO110" s="262"/>
      <c r="AP110" s="262"/>
      <c r="AQ110" s="263"/>
    </row>
    <row r="111" spans="1:43" s="261" customFormat="1" ht="15.75" x14ac:dyDescent="0.25">
      <c r="A111" s="163">
        <v>26</v>
      </c>
      <c r="B111" s="248" t="s">
        <v>565</v>
      </c>
      <c r="C111" s="248"/>
      <c r="D111" s="248"/>
      <c r="E111" s="248"/>
      <c r="F111" s="248"/>
      <c r="G111" s="248"/>
      <c r="H111" s="248"/>
      <c r="I111" s="248"/>
      <c r="J111" s="248" t="s">
        <v>376</v>
      </c>
      <c r="K111" s="243">
        <f>SUMIFS($AI$4:$AI$48,$V$4:$V$48,"Рідке скло",$F$4:$F$48,19,$G$4:$G$48,"гладкий")</f>
        <v>0</v>
      </c>
      <c r="L111" s="300"/>
      <c r="M111" s="301">
        <f>Прайс!$E$16</f>
        <v>3460</v>
      </c>
      <c r="N111" s="245">
        <f t="shared" si="3"/>
        <v>0</v>
      </c>
      <c r="O111" s="300"/>
      <c r="P111" s="252"/>
      <c r="Q111" s="252"/>
      <c r="R111" s="248"/>
      <c r="S111" s="258"/>
      <c r="T111" s="259"/>
      <c r="U111" s="260"/>
      <c r="V111" s="260"/>
      <c r="AG111" s="262"/>
      <c r="AH111" s="262"/>
      <c r="AI111" s="262"/>
      <c r="AJ111" s="262"/>
      <c r="AK111" s="262"/>
      <c r="AL111" s="262"/>
      <c r="AM111" s="262"/>
      <c r="AN111" s="262"/>
      <c r="AO111" s="262"/>
      <c r="AP111" s="262"/>
      <c r="AQ111" s="263"/>
    </row>
    <row r="112" spans="1:43" s="261" customFormat="1" ht="15.75" x14ac:dyDescent="0.25">
      <c r="A112" s="163">
        <v>27</v>
      </c>
      <c r="B112" s="341" t="s">
        <v>692</v>
      </c>
      <c r="C112" s="248"/>
      <c r="D112" s="248"/>
      <c r="E112" s="248"/>
      <c r="F112" s="248"/>
      <c r="G112" s="248"/>
      <c r="H112" s="248"/>
      <c r="I112" s="248"/>
      <c r="J112" s="248" t="s">
        <v>376</v>
      </c>
      <c r="K112" s="243">
        <f>SUMIFS($AI$4:$AI$48,$V$4:$V$48,"Рідке скло",$F$4:$F$48,22,$G$4:$G$48,"гладкий")</f>
        <v>0</v>
      </c>
      <c r="L112" s="300"/>
      <c r="M112" s="301">
        <f>Прайс!$E$16+700</f>
        <v>4160</v>
      </c>
      <c r="N112" s="245">
        <f t="shared" si="3"/>
        <v>0</v>
      </c>
      <c r="O112" s="300"/>
      <c r="P112" s="252"/>
      <c r="Q112" s="252"/>
      <c r="R112" s="248"/>
      <c r="S112" s="258"/>
      <c r="T112" s="259"/>
      <c r="U112" s="260"/>
      <c r="V112" s="260"/>
      <c r="AG112" s="262"/>
      <c r="AH112" s="262"/>
      <c r="AI112" s="262"/>
      <c r="AJ112" s="262"/>
      <c r="AK112" s="262"/>
      <c r="AL112" s="262"/>
      <c r="AM112" s="262"/>
      <c r="AN112" s="262"/>
      <c r="AO112" s="262"/>
      <c r="AP112" s="262"/>
      <c r="AQ112" s="263"/>
    </row>
    <row r="113" spans="1:43" s="261" customFormat="1" ht="15.75" x14ac:dyDescent="0.25">
      <c r="A113" s="163">
        <v>28</v>
      </c>
      <c r="B113" s="248" t="s">
        <v>566</v>
      </c>
      <c r="C113" s="248"/>
      <c r="D113" s="248"/>
      <c r="E113" s="248"/>
      <c r="F113" s="248"/>
      <c r="G113" s="248"/>
      <c r="H113" s="248"/>
      <c r="I113" s="248"/>
      <c r="J113" s="248" t="s">
        <v>376</v>
      </c>
      <c r="K113" s="243">
        <f>SUMIFS($AI$4:$AI$48,$Y$4:$Y$48,"Спецефект",$AB$4:$AB$48,"&gt;0",$G$4:$G$48,"гладкий")</f>
        <v>0</v>
      </c>
      <c r="L113" s="300"/>
      <c r="M113" s="301">
        <f>Прайс!$D$16-500</f>
        <v>2890</v>
      </c>
      <c r="N113" s="245">
        <f t="shared" si="3"/>
        <v>0</v>
      </c>
      <c r="O113" s="300"/>
      <c r="P113" s="252"/>
      <c r="Q113" s="252"/>
      <c r="R113" s="248"/>
      <c r="S113" s="258"/>
      <c r="T113" s="259"/>
      <c r="U113" s="260"/>
      <c r="V113" s="260"/>
      <c r="AG113" s="262"/>
      <c r="AH113" s="262"/>
      <c r="AI113" s="262"/>
      <c r="AJ113" s="262"/>
      <c r="AK113" s="262"/>
      <c r="AL113" s="262"/>
      <c r="AM113" s="262"/>
      <c r="AN113" s="262"/>
      <c r="AO113" s="262"/>
      <c r="AP113" s="262"/>
      <c r="AQ113" s="263"/>
    </row>
    <row r="114" spans="1:43" ht="15.75" x14ac:dyDescent="0.25">
      <c r="A114" s="163">
        <v>29</v>
      </c>
      <c r="B114" s="233" t="s">
        <v>567</v>
      </c>
      <c r="C114" s="233"/>
      <c r="D114" s="233"/>
      <c r="E114" s="233"/>
      <c r="F114" s="233"/>
      <c r="G114" s="233"/>
      <c r="H114" s="233"/>
      <c r="I114" s="233"/>
      <c r="J114" s="233" t="s">
        <v>376</v>
      </c>
      <c r="K114" s="243">
        <f>SUMIFS($AI$4:$AI$48,$V$4:$V$48,"Перли",$F$4:$F$48,16,$G$4:$G$48,"гладкий")+SUMIFS($AI$4:$AI$48,$V$4:$V$48,"Перли",$F$4:$F$48,10,$G$4:$G$48,"гладкий")+SUMIFS($AI$4:$AI$48,$V$4:$V$48,"Перли",$F$4:$F$48,4,$G$4:$G$48,"гладкий")+SUMIFS($AI$4:$AI$48,$V$4:$V$48,"Перли",$F$4:$F$48,6,$G$4:$G$48,"гладкий")+SUMIFS($AI$4:$AI$48,$V$4:$V$48,"Перли",$F$4:$F$48,8,$G$4:$G$48,"гладкий")+SUMIFS($AI$4:$AI$48,$V$4:$V$48,"Графіт",$F$4:$F$48,16,$G$4:$G$48,"гладкий")+SUMIFS($AI$4:$AI$48,$V$4:$V$48,"Графіт",$F$4:$F$48,10,$G$4:$G$48,"гладкий")+SUMIFS($AI$4:$AI$48,$V$4:$V$48,"Графіт",$F$4:$F$48,4,$G$4:$G$48,"гладкий")+SUMIFS($AI$4:$AI$48,$V$4:$V$48,"Графіт",$F$4:$F$48,6,$G$4:$G$48,"гладкий")+SUMIFS($AI$4:$AI$48,$V$4:$V$48,"Графіт",$F$4:$F$48,8,$G$4:$G$48,"гладкий")</f>
        <v>0</v>
      </c>
      <c r="L114" s="244"/>
      <c r="M114" s="226">
        <f>Прайс!$D$17</f>
        <v>3530</v>
      </c>
      <c r="N114" s="245">
        <f t="shared" si="3"/>
        <v>0</v>
      </c>
      <c r="O114" s="244"/>
      <c r="P114" s="234"/>
      <c r="Q114" s="234"/>
      <c r="R114" s="233"/>
      <c r="S114" s="204"/>
      <c r="T114" s="205"/>
      <c r="U114" s="235"/>
      <c r="V114" s="235"/>
      <c r="AG114" s="236"/>
      <c r="AH114" s="236"/>
      <c r="AI114" s="236"/>
      <c r="AJ114" s="236"/>
      <c r="AK114" s="236"/>
      <c r="AL114" s="236"/>
      <c r="AM114" s="236"/>
      <c r="AN114" s="236"/>
      <c r="AO114" s="236"/>
      <c r="AP114" s="236"/>
      <c r="AQ114" s="237"/>
    </row>
    <row r="115" spans="1:43" ht="15.75" x14ac:dyDescent="0.25">
      <c r="A115" s="163">
        <v>30</v>
      </c>
      <c r="B115" s="233" t="s">
        <v>568</v>
      </c>
      <c r="C115" s="233"/>
      <c r="D115" s="233"/>
      <c r="E115" s="233"/>
      <c r="F115" s="233"/>
      <c r="G115" s="233"/>
      <c r="H115" s="233"/>
      <c r="I115" s="233"/>
      <c r="J115" s="233" t="s">
        <v>376</v>
      </c>
      <c r="K115" s="243">
        <f>SUMIFS($AI$4:$AI$48,$V$4:$V$48,"Графіт",$F$4:$F$48,19,$G$4:$G$48,"гладкий")+SUMIFS($AI$4:$AI$48,$V$4:$V$48,"Перли",$F$4:$F$48,19,$G$4:$G$48,"гладкий")</f>
        <v>0</v>
      </c>
      <c r="L115" s="244"/>
      <c r="M115" s="226">
        <f>Прайс!$E$17</f>
        <v>3600</v>
      </c>
      <c r="N115" s="245">
        <f t="shared" si="3"/>
        <v>0</v>
      </c>
      <c r="O115" s="244"/>
      <c r="P115" s="234"/>
      <c r="Q115" s="234"/>
      <c r="R115" s="233"/>
      <c r="S115" s="204"/>
      <c r="T115" s="205"/>
      <c r="U115" s="235"/>
      <c r="V115" s="235"/>
      <c r="AG115" s="236"/>
      <c r="AH115" s="236"/>
      <c r="AI115" s="236"/>
      <c r="AJ115" s="236"/>
      <c r="AK115" s="236"/>
      <c r="AL115" s="236"/>
      <c r="AM115" s="236"/>
      <c r="AN115" s="236"/>
      <c r="AO115" s="236"/>
      <c r="AP115" s="236"/>
      <c r="AQ115" s="237"/>
    </row>
    <row r="116" spans="1:43" ht="15.75" x14ac:dyDescent="0.25">
      <c r="A116" s="163">
        <v>31</v>
      </c>
      <c r="B116" s="341" t="s">
        <v>693</v>
      </c>
      <c r="C116" s="233"/>
      <c r="D116" s="233"/>
      <c r="E116" s="233"/>
      <c r="F116" s="233"/>
      <c r="G116" s="233"/>
      <c r="H116" s="233"/>
      <c r="I116" s="233"/>
      <c r="J116" s="233" t="s">
        <v>376</v>
      </c>
      <c r="K116" s="243">
        <f>SUMIFS($AI$4:$AI$48,$V$4:$V$48,"Графіт",$F$4:$F$48,22,$G$4:$G$48,"гладкий")+SUMIFS($AI$4:$AI$48,$V$4:$V$48,"Перли",$F$4:$F$48,22,$G$4:$G$48,"гладкий")</f>
        <v>0</v>
      </c>
      <c r="L116" s="244"/>
      <c r="M116" s="226">
        <f>Прайс!$E$17+700</f>
        <v>4300</v>
      </c>
      <c r="N116" s="245">
        <f t="shared" si="3"/>
        <v>0</v>
      </c>
      <c r="O116" s="244"/>
      <c r="P116" s="234"/>
      <c r="Q116" s="234"/>
      <c r="R116" s="233"/>
      <c r="S116" s="204"/>
      <c r="T116" s="205"/>
      <c r="U116" s="235"/>
      <c r="V116" s="235"/>
      <c r="AG116" s="236"/>
      <c r="AH116" s="236"/>
      <c r="AI116" s="236"/>
      <c r="AJ116" s="236"/>
      <c r="AK116" s="236"/>
      <c r="AL116" s="236"/>
      <c r="AM116" s="236"/>
      <c r="AN116" s="236"/>
      <c r="AO116" s="236"/>
      <c r="AP116" s="236"/>
      <c r="AQ116" s="237"/>
    </row>
    <row r="117" spans="1:43" ht="15.75" x14ac:dyDescent="0.25">
      <c r="A117" s="163">
        <v>32</v>
      </c>
      <c r="B117" s="233" t="s">
        <v>569</v>
      </c>
      <c r="C117" s="233"/>
      <c r="D117" s="233"/>
      <c r="E117" s="233"/>
      <c r="F117" s="233"/>
      <c r="G117" s="233"/>
      <c r="H117" s="233"/>
      <c r="I117" s="233"/>
      <c r="J117" s="233" t="s">
        <v>376</v>
      </c>
      <c r="K117" s="243"/>
      <c r="L117" s="244"/>
      <c r="M117" s="226"/>
      <c r="N117" s="245">
        <f t="shared" si="3"/>
        <v>0</v>
      </c>
      <c r="O117" s="244"/>
      <c r="P117" s="234"/>
      <c r="Q117" s="234"/>
      <c r="R117" s="233"/>
      <c r="S117" s="204"/>
      <c r="T117" s="205"/>
      <c r="U117" s="235"/>
      <c r="V117" s="235"/>
      <c r="AG117" s="236"/>
      <c r="AH117" s="236"/>
      <c r="AI117" s="236"/>
      <c r="AJ117" s="236"/>
      <c r="AK117" s="236"/>
      <c r="AL117" s="236"/>
      <c r="AM117" s="236"/>
      <c r="AN117" s="236"/>
      <c r="AO117" s="236"/>
      <c r="AP117" s="236"/>
      <c r="AQ117" s="237"/>
    </row>
    <row r="118" spans="1:43" s="261" customFormat="1" ht="15.75" x14ac:dyDescent="0.25">
      <c r="A118" s="163">
        <v>33</v>
      </c>
      <c r="B118" s="248" t="s">
        <v>570</v>
      </c>
      <c r="C118" s="248"/>
      <c r="D118" s="248"/>
      <c r="E118" s="248"/>
      <c r="F118" s="248"/>
      <c r="G118" s="248"/>
      <c r="H118" s="248"/>
      <c r="I118" s="248"/>
      <c r="J118" s="248" t="s">
        <v>376</v>
      </c>
      <c r="K118" s="243">
        <f>SUMIFS($AI$4:$AI$48,$V$4:$V$48,"Зор.н.ср.",$F$4:$F$48,16,$G$4:$G$48,"гладкий")+SUMIFS($AI$4:$AI$48,$V$4:$V$48,"Зор.н.ср.",$F$4:$F$48,10,$G$4:$G$48,"гладкий")+SUMIFS($AI$4:$AI$48,$V$4:$V$48,"Зор.н.ср.",$F$4:$F$48,4,$G$4:$G$48,"гладкий")+SUMIFS($AI$4:$AI$48,$V$4:$V$48,"Зор.н.ср.",$F$4:$F$48,6,$G$4:$G$48,"гладкий")+SUMIFS($AI$4:$AI$48,$V$4:$V$48,"Зор.н.ср.",$F$4:$F$48,8,$G$4:$G$48,"гладкий")+SUMIFS($AI$4:$AI$48,$V$4:$V$48,"Зор.н.зол.",$F$4:$F$48,16,$G$4:$G$48,"гладкий")+SUMIFS($AI$4:$AI$48,$V$4:$V$48,"Зор.н.зол.",$F$4:$F$48,10,$G$4:$G$48,"гладкий")+SUMIFS($AI$4:$AI$48,$V$4:$V$48,"Зор.н.зол.",$F$4:$F$48,4,$G$4:$G$48,"гладкий")+SUMIFS($AI$4:$AI$48,$V$4:$V$48,"Зор.н.зол.",$F$4:$F$48,6,$G$4:$G$48,"гладкий")+SUMIFS($AI$4:$AI$48,$V$4:$V$48,"Зор.н.зол.",$F$4:$F$48,8,$G$4:$G$48,"гладкий")+SUMIFS($AI$4:$AI$48,$V$4:$V$48,"Зор.н.різн.",$F$4:$F$48,16,$G$4:$G$48,"гладкий")+SUMIFS($AI$4:$AI$48,$V$4:$V$48,"Зор.н.різн.",$F$4:$F$48,10,$G$4:$G$48,"гладкий")+SUMIFS($AI$4:$AI$48,$V$4:$V$48,"Зор.н.різн.",$F$4:$F$48,4,$G$4:$G$48,"гладкий")+SUMIFS($AI$4:$AI$48,$V$4:$V$48,"Зор.н.різн.",$F$4:$F$48,6,$G$4:$G$48,"гладкий")+SUMIFS($AI$4:$AI$48,$V$4:$V$48,"Зор.н.різн.",$F$4:$F$48,8,$G$4:$G$48,"гладкий")</f>
        <v>0</v>
      </c>
      <c r="L118" s="300"/>
      <c r="M118" s="301">
        <f>Прайс!$D$18</f>
        <v>3740</v>
      </c>
      <c r="N118" s="245">
        <f t="shared" si="3"/>
        <v>0</v>
      </c>
      <c r="O118" s="300"/>
      <c r="P118" s="252"/>
      <c r="Q118" s="252"/>
      <c r="R118" s="248"/>
      <c r="S118" s="258"/>
      <c r="T118" s="259"/>
      <c r="U118" s="260"/>
      <c r="V118" s="260"/>
      <c r="AG118" s="262"/>
      <c r="AH118" s="262"/>
      <c r="AI118" s="262"/>
      <c r="AJ118" s="262"/>
      <c r="AK118" s="262"/>
      <c r="AL118" s="262"/>
      <c r="AM118" s="262"/>
      <c r="AN118" s="262"/>
      <c r="AO118" s="262"/>
      <c r="AP118" s="262"/>
      <c r="AQ118" s="263"/>
    </row>
    <row r="119" spans="1:43" s="261" customFormat="1" ht="15.75" x14ac:dyDescent="0.25">
      <c r="A119" s="163">
        <v>34</v>
      </c>
      <c r="B119" s="248" t="s">
        <v>571</v>
      </c>
      <c r="C119" s="248"/>
      <c r="D119" s="248"/>
      <c r="E119" s="248"/>
      <c r="F119" s="248"/>
      <c r="G119" s="248"/>
      <c r="H119" s="248"/>
      <c r="I119" s="248"/>
      <c r="J119" s="248" t="s">
        <v>376</v>
      </c>
      <c r="K119" s="243">
        <f>SUMIFS($AI$4:$AI$48,$V$4:$V$48,"Зор.н.ср.",$F$4:$F$48,19,$G$4:$G$48,"гладкий")+SUMIFS($AI$4:$AI$48,$V$4:$V$48,"Зор.н.зол.",$F$4:$F$48,19,$G$4:$G$48,"гладкий")+SUMIFS($AI$4:$AI$48,$V$4:$V$48,"Зор.н.різн.",$F$4:$F$48,19,$G$4:$G$48,"гладкий")</f>
        <v>0</v>
      </c>
      <c r="L119" s="300"/>
      <c r="M119" s="301">
        <f>Прайс!$E$18</f>
        <v>3810</v>
      </c>
      <c r="N119" s="245">
        <f t="shared" si="3"/>
        <v>0</v>
      </c>
      <c r="O119" s="300"/>
      <c r="P119" s="252"/>
      <c r="Q119" s="252"/>
      <c r="R119" s="248"/>
      <c r="S119" s="258"/>
      <c r="T119" s="259"/>
      <c r="U119" s="260"/>
      <c r="V119" s="260"/>
      <c r="AG119" s="262"/>
      <c r="AH119" s="262"/>
      <c r="AI119" s="262"/>
      <c r="AJ119" s="262"/>
      <c r="AK119" s="262"/>
      <c r="AL119" s="262"/>
      <c r="AM119" s="262"/>
      <c r="AN119" s="262"/>
      <c r="AO119" s="262"/>
      <c r="AP119" s="262"/>
      <c r="AQ119" s="263"/>
    </row>
    <row r="120" spans="1:43" s="261" customFormat="1" ht="15.75" x14ac:dyDescent="0.25">
      <c r="A120" s="163">
        <v>35</v>
      </c>
      <c r="B120" s="341" t="s">
        <v>694</v>
      </c>
      <c r="C120" s="248"/>
      <c r="D120" s="248"/>
      <c r="E120" s="248"/>
      <c r="F120" s="248"/>
      <c r="G120" s="248"/>
      <c r="H120" s="248"/>
      <c r="I120" s="248"/>
      <c r="J120" s="248" t="s">
        <v>376</v>
      </c>
      <c r="K120" s="243">
        <f>SUMIFS($AI$4:$AI$48,$V$4:$V$48,"Зор.н.ср.",$F$4:$F$48,22,$G$4:$G$48,"гладкий")+SUMIFS($AI$4:$AI$48,$V$4:$V$48,"Зор.н.зол.",$F$4:$F$48,22,$G$4:$G$48,"гладкий")+SUMIFS($AI$4:$AI$48,$V$4:$V$48,"Зор.н.різн.",$F$4:$F$48,22,$G$4:$G$48,"гладкий")</f>
        <v>0</v>
      </c>
      <c r="L120" s="300"/>
      <c r="M120" s="301">
        <f>Прайс!$E$18+700</f>
        <v>4510</v>
      </c>
      <c r="N120" s="245">
        <f t="shared" si="3"/>
        <v>0</v>
      </c>
      <c r="O120" s="300"/>
      <c r="P120" s="252"/>
      <c r="Q120" s="252"/>
      <c r="R120" s="248"/>
      <c r="S120" s="258"/>
      <c r="T120" s="259"/>
      <c r="U120" s="260"/>
      <c r="V120" s="260"/>
      <c r="AG120" s="262"/>
      <c r="AH120" s="262"/>
      <c r="AI120" s="262"/>
      <c r="AJ120" s="262"/>
      <c r="AK120" s="262"/>
      <c r="AL120" s="262"/>
      <c r="AM120" s="262"/>
      <c r="AN120" s="262"/>
      <c r="AO120" s="262"/>
      <c r="AP120" s="262"/>
      <c r="AQ120" s="263"/>
    </row>
    <row r="121" spans="1:43" s="261" customFormat="1" ht="16.5" thickBot="1" x14ac:dyDescent="0.3">
      <c r="A121" s="163">
        <v>36</v>
      </c>
      <c r="B121" s="248" t="s">
        <v>572</v>
      </c>
      <c r="C121" s="248"/>
      <c r="D121" s="248"/>
      <c r="E121" s="248"/>
      <c r="F121" s="248"/>
      <c r="G121" s="248"/>
      <c r="H121" s="248"/>
      <c r="I121" s="248"/>
      <c r="J121" s="248" t="s">
        <v>376</v>
      </c>
      <c r="K121" s="243"/>
      <c r="L121" s="300"/>
      <c r="M121" s="301"/>
      <c r="N121" s="245">
        <f t="shared" si="3"/>
        <v>0</v>
      </c>
      <c r="O121" s="300"/>
      <c r="P121" s="252"/>
      <c r="Q121" s="252"/>
      <c r="R121" s="248"/>
      <c r="S121" s="258"/>
      <c r="T121" s="259"/>
      <c r="U121" s="260"/>
      <c r="V121" s="260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3"/>
    </row>
    <row r="122" spans="1:43" ht="15.75" x14ac:dyDescent="0.25">
      <c r="A122" s="163">
        <v>37</v>
      </c>
      <c r="B122" s="232" t="s">
        <v>390</v>
      </c>
      <c r="C122" s="249"/>
      <c r="D122" s="249"/>
      <c r="E122" s="249"/>
      <c r="F122" s="249"/>
      <c r="G122" s="249"/>
      <c r="H122" s="249"/>
      <c r="I122" s="249"/>
      <c r="J122" s="233" t="s">
        <v>376</v>
      </c>
      <c r="K122" s="243">
        <f>SUMIFS($AI$4:$AI$48,$V$4:$V$48,"",$X$4:$X$48,"Матове",$F$4:$F$48,16,$H$4:$H$48,1)</f>
        <v>0</v>
      </c>
      <c r="L122" s="244"/>
      <c r="M122" s="226">
        <f>Прайс!$D$73</f>
        <v>3810</v>
      </c>
      <c r="N122" s="245">
        <f t="shared" si="3"/>
        <v>0</v>
      </c>
      <c r="O122" s="244">
        <f>SUMIFS($T$14:$T$38,$P$14:$P$38,"Матове",$Q$14:$Q$38,"Відкрита пора",$F$14:$F$38,16,$R$14:$R$38,"Матове",$S$14:$S$38,"Відкрита пора",$O$14:$O$38,1)+SUMIFS($T$14:$T$38,$P$14:$P$38,"Матове",$Q$14:$Q$38,"Відкрита пора",$F$14:$F$38,10,$R$14:$R$38,"Матове",$S$14:$S$38,"Відкрита пора",$O$14:$O$38,1)+SUMIFS($T$14:$T$38,$P$14:$P$38,"Матове",$Q$14:$Q$38,"Відкрита пора",$F$14:$F$38,8,$R$14:$R$38,"Матове",$S$14:$S$38,"Відкрита пора",$O$14:$O$38,1)+SUMIFS($T$14:$T$38,$P$14:$P$38,"Матове",$Q$14:$Q$38,"Відкрита пора",$F$14:$F$38,6,$R$14:$R$38,"Матове",$S$14:$S$38,"Відкрита пора",$O$14:$O$38,1)+SUMIFS($T$14:$T$38,$P$14:$P$38,"Матове",$Q$14:$Q$38,"Відкрита пора",$F$14:$F$38,4,$R$14:$R$38,"Матове",$S$14:$S$38,"Відкрита пора",$O$14:$O$38,1)</f>
        <v>0</v>
      </c>
      <c r="P122" s="234"/>
      <c r="Q122" s="234"/>
      <c r="R122" s="233"/>
      <c r="S122" s="204"/>
      <c r="T122" s="205"/>
      <c r="U122" s="235"/>
      <c r="V122" s="235"/>
      <c r="AG122" s="236"/>
      <c r="AH122" s="236"/>
      <c r="AI122" s="236"/>
      <c r="AJ122" s="236"/>
      <c r="AK122" s="236"/>
      <c r="AL122" s="236"/>
      <c r="AM122" s="236"/>
      <c r="AN122" s="236"/>
      <c r="AO122" s="236"/>
      <c r="AP122" s="236"/>
      <c r="AQ122" s="237"/>
    </row>
    <row r="123" spans="1:43" ht="15.75" x14ac:dyDescent="0.25">
      <c r="A123" s="163">
        <v>38</v>
      </c>
      <c r="B123" s="232" t="s">
        <v>391</v>
      </c>
      <c r="C123" s="233"/>
      <c r="D123" s="233"/>
      <c r="E123" s="233"/>
      <c r="F123" s="233"/>
      <c r="G123" s="233"/>
      <c r="H123" s="233"/>
      <c r="I123" s="233"/>
      <c r="J123" s="233" t="s">
        <v>376</v>
      </c>
      <c r="K123" s="243">
        <f>SUMIFS($AI$4:$AI$48,$V$4:$V$48,"",$X$4:$X$48,"Матове",$F$4:$F$48,16,$H$4:$H$48,2)</f>
        <v>0</v>
      </c>
      <c r="L123" s="244"/>
      <c r="M123" s="226">
        <f>Прайс!$E$73</f>
        <v>4230</v>
      </c>
      <c r="N123" s="245">
        <f t="shared" si="3"/>
        <v>0</v>
      </c>
      <c r="O123" s="244">
        <f>SUMIFS($T$14:$T$38,$P$14:$P$38,"Матове",$Q$14:$Q$38,"Відкрита пора",$F$14:$F$38,16,$R$14:$R$38,"Матове",$S$14:$S$38,"Відкрита пора",$O$14:$O$38,2)+SUMIFS($T$14:$T$38,$P$14:$P$38,"Матове",$Q$14:$Q$38,"Відкрита пора",$F$14:$F$38,10,$R$14:$R$38,"Матове",$S$14:$S$38,"Відкрита пора",$O$14:$O$38,2)+SUMIFS($T$14:$T$38,$P$14:$P$38,"Матове",$Q$14:$Q$38,"Відкрита пора",$F$14:$F$38,8,$R$14:$R$38,"Матове",$S$14:$S$38,"Відкрита пора",$O$14:$O$38,2)+SUMIFS($T$14:$T$38,$P$14:$P$38,"Матове",$Q$14:$Q$38,"Відкрита пора",$F$14:$F$38,6,$R$14:$R$38,"Матове",$S$14:$S$38,"Відкрита пора",$O$14:$O$38,2)+SUMIFS($T$14:$T$38,$P$14:$P$38,"Матове",$Q$14:$Q$38,"Відкрита пора",$F$14:$F$38,4,$R$14:$R$38,"Матове",$S$14:$S$38,"Відкрита пора",$O$14:$O$38,2)</f>
        <v>0</v>
      </c>
      <c r="P123" s="234"/>
      <c r="Q123" s="234"/>
      <c r="R123" s="233"/>
      <c r="S123" s="204"/>
      <c r="T123" s="205"/>
      <c r="U123" s="235"/>
      <c r="V123" s="235"/>
      <c r="AG123" s="236"/>
      <c r="AH123" s="236"/>
      <c r="AI123" s="236"/>
      <c r="AJ123" s="236"/>
      <c r="AK123" s="236"/>
      <c r="AL123" s="236"/>
      <c r="AM123" s="236"/>
      <c r="AN123" s="236"/>
      <c r="AO123" s="236"/>
      <c r="AP123" s="236"/>
      <c r="AQ123" s="237"/>
    </row>
    <row r="124" spans="1:43" ht="15.75" x14ac:dyDescent="0.25">
      <c r="A124" s="163">
        <v>39</v>
      </c>
      <c r="B124" s="233" t="s">
        <v>392</v>
      </c>
      <c r="C124" s="233"/>
      <c r="D124" s="233"/>
      <c r="E124" s="233"/>
      <c r="F124" s="233"/>
      <c r="G124" s="233"/>
      <c r="H124" s="233"/>
      <c r="I124" s="233"/>
      <c r="J124" s="233" t="s">
        <v>376</v>
      </c>
      <c r="K124" s="243">
        <f>SUMIFS($AI$4:$AI$48,$V$4:$V$48,"",$X$4:$X$48,"Матове",$F$4:$F$48,19,$H$4:$H$48,1)</f>
        <v>0</v>
      </c>
      <c r="L124" s="244"/>
      <c r="M124" s="226">
        <f>Прайс!$F$73</f>
        <v>3880</v>
      </c>
      <c r="N124" s="245">
        <f t="shared" si="3"/>
        <v>0</v>
      </c>
      <c r="O124" s="244">
        <f>SUMIFS($U$14:$U$38,$P$14:$P$38,"Матове",$Q$14:$Q$38,"Відкрита пора",$F$14:$F$38,19,$R$14:$R$38,"Матове",$S$14:$S$38,"Відкрита пора",$O$14:$O$38,1)</f>
        <v>0</v>
      </c>
      <c r="P124" s="234"/>
      <c r="Q124" s="234"/>
      <c r="R124" s="233"/>
      <c r="S124" s="204"/>
      <c r="T124" s="205"/>
      <c r="U124" s="235"/>
      <c r="V124" s="235"/>
      <c r="AG124" s="236"/>
      <c r="AH124" s="236"/>
      <c r="AI124" s="236"/>
      <c r="AJ124" s="236"/>
      <c r="AK124" s="236"/>
      <c r="AL124" s="236"/>
      <c r="AM124" s="236"/>
      <c r="AN124" s="236"/>
      <c r="AO124" s="236"/>
      <c r="AP124" s="236"/>
      <c r="AQ124" s="237"/>
    </row>
    <row r="125" spans="1:43" ht="15.75" x14ac:dyDescent="0.25">
      <c r="A125" s="163">
        <v>40</v>
      </c>
      <c r="B125" s="233" t="s">
        <v>393</v>
      </c>
      <c r="C125" s="233"/>
      <c r="D125" s="233"/>
      <c r="E125" s="233"/>
      <c r="F125" s="233"/>
      <c r="G125" s="233"/>
      <c r="H125" s="233"/>
      <c r="I125" s="233"/>
      <c r="J125" s="233" t="s">
        <v>376</v>
      </c>
      <c r="K125" s="243">
        <f>SUMIFS($AI$4:$AI$48,$V$4:$V$48,"",$X$4:$X$48,"Матове",$F$4:$F$48,19,$H$4:$H$48,2)</f>
        <v>0</v>
      </c>
      <c r="L125" s="244"/>
      <c r="M125" s="226">
        <f>Прайс!$G$73</f>
        <v>4300</v>
      </c>
      <c r="N125" s="245">
        <f t="shared" si="3"/>
        <v>0</v>
      </c>
      <c r="O125" s="244">
        <f>SUMIFS($W$14:$W$38,$P$14:$P$38,"Матове",$Q$14:$Q$38,"Відкрита пора",$F$14:$F$38,19,$R$14:$R$38,"Матове",$S$14:$S$38,"Відкрита пора",$O$14:$O$38,2)</f>
        <v>0</v>
      </c>
      <c r="P125" s="234"/>
      <c r="Q125" s="234"/>
      <c r="R125" s="233"/>
      <c r="S125" s="204"/>
      <c r="T125" s="205"/>
      <c r="U125" s="235"/>
      <c r="V125" s="235"/>
      <c r="AG125" s="236"/>
      <c r="AH125" s="236"/>
      <c r="AI125" s="236"/>
      <c r="AJ125" s="236"/>
      <c r="AK125" s="236"/>
      <c r="AL125" s="236"/>
      <c r="AM125" s="236"/>
      <c r="AN125" s="236"/>
      <c r="AO125" s="236"/>
      <c r="AP125" s="236"/>
      <c r="AQ125" s="237"/>
    </row>
    <row r="126" spans="1:43" ht="15.75" x14ac:dyDescent="0.25">
      <c r="A126" s="163">
        <v>41</v>
      </c>
      <c r="B126" s="341" t="s">
        <v>695</v>
      </c>
      <c r="C126" s="233"/>
      <c r="D126" s="233"/>
      <c r="E126" s="233"/>
      <c r="F126" s="233"/>
      <c r="G126" s="233"/>
      <c r="H126" s="233"/>
      <c r="I126" s="233"/>
      <c r="J126" s="233" t="s">
        <v>376</v>
      </c>
      <c r="K126" s="243">
        <f>SUMIFS($AI$4:$AI$48,$V$4:$V$48,"",$X$4:$X$48,"Матове",$F$4:$F$48,22,$H$4:$H$48,1)</f>
        <v>0</v>
      </c>
      <c r="L126" s="244"/>
      <c r="M126" s="226">
        <f>Прайс!$F$73+700</f>
        <v>4580</v>
      </c>
      <c r="N126" s="245">
        <f t="shared" si="3"/>
        <v>0</v>
      </c>
      <c r="O126" s="244"/>
      <c r="P126" s="234"/>
      <c r="Q126" s="234"/>
      <c r="R126" s="233"/>
      <c r="S126" s="204"/>
      <c r="T126" s="205"/>
      <c r="U126" s="235"/>
      <c r="V126" s="235"/>
      <c r="AG126" s="236"/>
      <c r="AH126" s="236"/>
      <c r="AI126" s="236"/>
      <c r="AJ126" s="236"/>
      <c r="AK126" s="236"/>
      <c r="AL126" s="236"/>
      <c r="AM126" s="236"/>
      <c r="AN126" s="236"/>
      <c r="AO126" s="236"/>
      <c r="AP126" s="236"/>
      <c r="AQ126" s="237"/>
    </row>
    <row r="127" spans="1:43" ht="15.75" x14ac:dyDescent="0.25">
      <c r="A127" s="163">
        <v>42</v>
      </c>
      <c r="B127" s="341" t="s">
        <v>696</v>
      </c>
      <c r="C127" s="233"/>
      <c r="D127" s="233"/>
      <c r="E127" s="233"/>
      <c r="F127" s="233"/>
      <c r="G127" s="233"/>
      <c r="H127" s="233"/>
      <c r="I127" s="233"/>
      <c r="J127" s="233" t="s">
        <v>376</v>
      </c>
      <c r="K127" s="243">
        <f>SUMIFS($AI$4:$AI$48,$V$4:$V$48,"",$X$4:$X$48,"Матове",$F$4:$F$48,22,$H$4:$H$48,2)</f>
        <v>0</v>
      </c>
      <c r="L127" s="244"/>
      <c r="M127" s="226">
        <f>Прайс!$G$73+700</f>
        <v>5000</v>
      </c>
      <c r="N127" s="245">
        <f t="shared" si="3"/>
        <v>0</v>
      </c>
      <c r="O127" s="244"/>
      <c r="P127" s="234"/>
      <c r="Q127" s="234"/>
      <c r="R127" s="233"/>
      <c r="S127" s="204"/>
      <c r="T127" s="205"/>
      <c r="U127" s="235"/>
      <c r="V127" s="235"/>
      <c r="AG127" s="236"/>
      <c r="AH127" s="236"/>
      <c r="AI127" s="236"/>
      <c r="AJ127" s="236"/>
      <c r="AK127" s="236"/>
      <c r="AL127" s="236"/>
      <c r="AM127" s="236"/>
      <c r="AN127" s="236"/>
      <c r="AO127" s="236"/>
      <c r="AP127" s="236"/>
      <c r="AQ127" s="237"/>
    </row>
    <row r="128" spans="1:43" ht="15.75" x14ac:dyDescent="0.25">
      <c r="A128" s="163">
        <v>43</v>
      </c>
      <c r="B128" s="233" t="s">
        <v>394</v>
      </c>
      <c r="C128" s="233"/>
      <c r="D128" s="233"/>
      <c r="E128" s="233"/>
      <c r="F128" s="233"/>
      <c r="G128" s="233"/>
      <c r="H128" s="233"/>
      <c r="I128" s="233"/>
      <c r="J128" s="233" t="s">
        <v>376</v>
      </c>
      <c r="K128" s="243">
        <f>SUMIFS($AI$4:$AI$48,$Y$4:$Y$48,"Матове",$AB$4:$AB$48,"&gt;0",$H$4:$H$48,1)</f>
        <v>0</v>
      </c>
      <c r="L128" s="244"/>
      <c r="M128" s="226">
        <f>Прайс!$D$73/2</f>
        <v>1905</v>
      </c>
      <c r="N128" s="245">
        <f t="shared" si="3"/>
        <v>0</v>
      </c>
      <c r="O128" s="244">
        <f>SUMIFS($T$14:$T$38,$P$14:$P$38,"Матове",$Q$14:$Q$38,"Закрита пора",$F$14:$F$38,16,$R$14:$R$38,"Матове",$S$14:$S$38,"Відкрита пора",$O$14:$O$38,1)+SUMIFS($T$14:$T$38,$P$14:$P$38,"Матове",$Q$14:$Q$38,"Закрита пора",$F$14:$F$38,10,$R$14:$R$38,"Матове",$S$14:$S$38,"Відкрита пора",$O$14:$O$38,1)+SUMIFS($T$14:$T$38,$P$14:$P$38,"Матове",$Q$14:$Q$38,"Закрита пора",$F$14:$F$38,8,$R$14:$R$38,"Матове",$S$14:$S$38,"Відкрита пора",$O$14:$O$38,1)+SUMIFS($T$14:$T$38,$P$14:$P$38,"Матове",$Q$14:$Q$38,"Закрита пора",$F$14:$F$38,6,$R$14:$R$38,"Матове",$S$14:$S$38,"Відкрита пора",$O$14:$O$38,1)+SUMIFS($T$14:$T$38,$P$14:$P$38,"Матове",$Q$14:$Q$38,"Закрита пора",$F$14:$F$38,4,$R$14:$R$38,"Матове",$S$14:$S$38,"Відкрита пора",$O$14:$O$38,1)</f>
        <v>0</v>
      </c>
      <c r="P128" s="234"/>
      <c r="Q128" s="234"/>
      <c r="R128" s="233"/>
      <c r="S128" s="204"/>
      <c r="T128" s="205"/>
      <c r="U128" s="235"/>
      <c r="V128" s="235"/>
      <c r="AG128" s="236"/>
      <c r="AH128" s="236"/>
      <c r="AI128" s="236"/>
      <c r="AJ128" s="236"/>
      <c r="AK128" s="236"/>
      <c r="AL128" s="236"/>
      <c r="AM128" s="236"/>
      <c r="AN128" s="236"/>
      <c r="AO128" s="236"/>
      <c r="AP128" s="236"/>
      <c r="AQ128" s="237"/>
    </row>
    <row r="129" spans="1:43" ht="15.75" x14ac:dyDescent="0.25">
      <c r="A129" s="163">
        <v>44</v>
      </c>
      <c r="B129" s="233" t="s">
        <v>395</v>
      </c>
      <c r="C129" s="233"/>
      <c r="D129" s="233"/>
      <c r="E129" s="233"/>
      <c r="F129" s="233"/>
      <c r="G129" s="233"/>
      <c r="H129" s="233"/>
      <c r="I129" s="233"/>
      <c r="J129" s="233" t="s">
        <v>376</v>
      </c>
      <c r="K129" s="243">
        <f>SUMIFS($AI$4:$AI$48,$Y$4:$Y$48,"Матове",$AB$4:$AB$48,"&gt;0",$H$4:$H$48,2)</f>
        <v>0</v>
      </c>
      <c r="L129" s="244"/>
      <c r="M129" s="226">
        <f>Прайс!$E$73/2</f>
        <v>2115</v>
      </c>
      <c r="N129" s="245">
        <f t="shared" si="3"/>
        <v>0</v>
      </c>
      <c r="O129" s="244">
        <f>SUMIFS($T$14:$T$38,$P$14:$P$38,"Матове",$Q$14:$Q$38,"Закрита пора",$F$14:$F$38,16,$R$14:$R$38,"Матове",$S$14:$S$38,"Відкрита пора",$O$14:$O$38,2)+SUMIFS($T$14:$T$38,$P$14:$P$38,"Матове",$Q$14:$Q$38,"Закрита пора",$F$14:$F$38,10,$R$14:$R$38,"Матове",$S$14:$S$38,"Відкрита пора",$O$14:$O$38,2)+SUMIFS($T$14:$T$38,$P$14:$P$38,"Матове",$Q$14:$Q$38,"Закрита пора",$F$14:$F$38,8,$R$14:$R$38,"Матове",$S$14:$S$38,"Відкрита пора",$O$14:$O$38,2)+SUMIFS($T$14:$T$38,$P$14:$P$38,"Матове",$Q$14:$Q$38,"Закрита пора",$F$14:$F$38,6,$R$14:$R$38,"Матове",$S$14:$S$38,"Відкрита пора",$O$14:$O$38,2)+SUMIFS($T$14:$T$38,$P$14:$P$38,"Матове",$Q$14:$Q$38,"Закрита пора",$F$14:$F$38,4,$R$14:$R$38,"Матове",$S$14:$S$38,"Відкрита пора",$O$14:$O$38,2)</f>
        <v>0</v>
      </c>
      <c r="P129" s="234"/>
      <c r="Q129" s="234"/>
      <c r="R129" s="233"/>
      <c r="S129" s="204"/>
      <c r="T129" s="205"/>
      <c r="U129" s="235"/>
      <c r="V129" s="235"/>
      <c r="AG129" s="236"/>
      <c r="AH129" s="236"/>
      <c r="AI129" s="236"/>
      <c r="AJ129" s="236"/>
      <c r="AK129" s="236"/>
      <c r="AL129" s="236"/>
      <c r="AM129" s="236"/>
      <c r="AN129" s="236"/>
      <c r="AO129" s="236"/>
      <c r="AP129" s="236"/>
      <c r="AQ129" s="237"/>
    </row>
    <row r="130" spans="1:43" s="261" customFormat="1" ht="15.75" x14ac:dyDescent="0.25">
      <c r="A130" s="163">
        <v>45</v>
      </c>
      <c r="B130" s="247" t="s">
        <v>396</v>
      </c>
      <c r="C130" s="248"/>
      <c r="D130" s="248"/>
      <c r="E130" s="248"/>
      <c r="F130" s="248"/>
      <c r="G130" s="248"/>
      <c r="H130" s="248"/>
      <c r="I130" s="248"/>
      <c r="J130" s="248" t="s">
        <v>376</v>
      </c>
      <c r="K130" s="298">
        <f>SUMIFS($AI$4:$AI$48,$V$4:$V$48,"",$X$4:$X$48,"Софт(TS)",$F$4:$F$48,16,$H$4:$H$48,1)</f>
        <v>0</v>
      </c>
      <c r="L130" s="300"/>
      <c r="M130" s="301">
        <f>Прайс!$D$74</f>
        <v>3860</v>
      </c>
      <c r="N130" s="245">
        <f t="shared" si="3"/>
        <v>0</v>
      </c>
      <c r="O130" s="300">
        <f>SUMIFS($U$14:$U$38,$P$14:$P$38,"Матове",$Q$14:$Q$38,"Закрита пора",$F$14:$F$38,19,$R$14:$R$38,"Матове",$S$14:$S$38,"Відкрита пора",$O$14:$O$38,1)</f>
        <v>0</v>
      </c>
      <c r="P130" s="252"/>
      <c r="Q130" s="252"/>
      <c r="R130" s="248"/>
      <c r="S130" s="258"/>
      <c r="T130" s="259"/>
      <c r="U130" s="260"/>
      <c r="V130" s="260"/>
      <c r="AG130" s="262"/>
      <c r="AH130" s="262"/>
      <c r="AI130" s="262"/>
      <c r="AJ130" s="262"/>
      <c r="AK130" s="262"/>
      <c r="AL130" s="262"/>
      <c r="AM130" s="262"/>
      <c r="AN130" s="262"/>
      <c r="AO130" s="262"/>
      <c r="AP130" s="262"/>
      <c r="AQ130" s="263"/>
    </row>
    <row r="131" spans="1:43" s="261" customFormat="1" ht="15.75" x14ac:dyDescent="0.25">
      <c r="A131" s="163">
        <v>46</v>
      </c>
      <c r="B131" s="247" t="s">
        <v>397</v>
      </c>
      <c r="C131" s="248"/>
      <c r="D131" s="248"/>
      <c r="E131" s="248"/>
      <c r="F131" s="248"/>
      <c r="G131" s="248"/>
      <c r="H131" s="248"/>
      <c r="I131" s="248"/>
      <c r="J131" s="248" t="s">
        <v>376</v>
      </c>
      <c r="K131" s="298">
        <f>SUMIFS($AI$4:$AI$48,$V$4:$V$48,"",$X$4:$X$48,"Софт(TS)",$F$4:$F$48,16,$H$4:$H$48,2)</f>
        <v>0</v>
      </c>
      <c r="L131" s="300"/>
      <c r="M131" s="301">
        <f>Прайс!$E$74</f>
        <v>4280</v>
      </c>
      <c r="N131" s="245">
        <f t="shared" si="3"/>
        <v>0</v>
      </c>
      <c r="O131" s="300">
        <f>SUMIFS($U$14:$U$38,$P$14:$P$38,"Матове",$Q$14:$Q$38,"Закрита пора",$F$14:$F$38,19,$R$14:$R$38,"Матове",$S$14:$S$38,"Відкрита пора",$O$14:$O$38,2)</f>
        <v>0</v>
      </c>
      <c r="P131" s="252"/>
      <c r="Q131" s="252"/>
      <c r="R131" s="248"/>
      <c r="S131" s="258"/>
      <c r="T131" s="259"/>
      <c r="U131" s="260"/>
      <c r="V131" s="260"/>
      <c r="AG131" s="262"/>
      <c r="AH131" s="262"/>
      <c r="AI131" s="262"/>
      <c r="AJ131" s="262"/>
      <c r="AK131" s="262"/>
      <c r="AL131" s="262"/>
      <c r="AM131" s="262"/>
      <c r="AN131" s="262"/>
      <c r="AO131" s="262"/>
      <c r="AP131" s="262"/>
      <c r="AQ131" s="263"/>
    </row>
    <row r="132" spans="1:43" s="261" customFormat="1" ht="15.75" x14ac:dyDescent="0.25">
      <c r="A132" s="163">
        <v>47</v>
      </c>
      <c r="B132" s="248" t="s">
        <v>398</v>
      </c>
      <c r="C132" s="248"/>
      <c r="D132" s="248"/>
      <c r="E132" s="248"/>
      <c r="F132" s="248"/>
      <c r="G132" s="248"/>
      <c r="H132" s="248"/>
      <c r="I132" s="248"/>
      <c r="J132" s="248" t="s">
        <v>376</v>
      </c>
      <c r="K132" s="298">
        <f>SUMIFS($AI$4:$AI$48,$V$4:$V$48,"",$X$4:$X$48,"Софт(TS)",$F$4:$F$48,19,$H$4:$H$48,1)</f>
        <v>0</v>
      </c>
      <c r="L132" s="300"/>
      <c r="M132" s="301">
        <f>Прайс!$F$74</f>
        <v>3930</v>
      </c>
      <c r="N132" s="245">
        <f t="shared" si="3"/>
        <v>0</v>
      </c>
      <c r="O132" s="300">
        <f>SUMIFS($T$14:$T$38,$P$14:$P$38,"Глянець",$Q$14:$Q$38,"Закрита пора",$F$14:$F$38,16,$R$14:$R$38,"Матове",$S$14:$S$38,"Відкрита пора",$O$14:$O$38,1)+SUMIFS($T$14:$T$38,$P$14:$P$38,"Глянець",$Q$14:$Q$38,"Закрита пора",$F$14:$F$38,10,$R$14:$R$38,"Матове",$S$14:$S$38,"Відкрита пора",$O$14:$O$38,1)+SUMIFS($T$14:$T$38,$P$14:$P$38,"Глянець",$Q$14:$Q$38,"Закрита пора",$F$14:$F$38,8,$R$14:$R$38,"Матове",$S$14:$S$38,"Відкрита пора",$O$14:$O$38,1)+SUMIFS($T$14:$T$38,$P$14:$P$38,"Глянець",$Q$14:$Q$38,"Закрита пора",$F$14:$F$38,6,$R$14:$R$38,"Матове",$S$14:$S$38,"Відкрита пора",$O$14:$O$38,1)+SUMIFS($T$14:$T$38,$P$14:$P$38,"Глянець",$Q$14:$Q$38,"Закрита пора",$F$14:$F$38,4,$R$14:$R$38,"Матове",$S$14:$S$38,"Відкрита пора",$O$14:$O$38,1)</f>
        <v>0</v>
      </c>
      <c r="P132" s="252"/>
      <c r="Q132" s="252"/>
      <c r="R132" s="248"/>
      <c r="S132" s="258"/>
      <c r="T132" s="259"/>
      <c r="U132" s="260"/>
      <c r="V132" s="260"/>
      <c r="AG132" s="262"/>
      <c r="AH132" s="262"/>
      <c r="AI132" s="262"/>
      <c r="AJ132" s="262"/>
      <c r="AK132" s="262"/>
      <c r="AL132" s="262"/>
      <c r="AM132" s="262"/>
      <c r="AN132" s="262"/>
      <c r="AO132" s="262"/>
      <c r="AP132" s="262"/>
      <c r="AQ132" s="263"/>
    </row>
    <row r="133" spans="1:43" s="261" customFormat="1" ht="15.75" x14ac:dyDescent="0.25">
      <c r="A133" s="163">
        <v>48</v>
      </c>
      <c r="B133" s="248" t="s">
        <v>399</v>
      </c>
      <c r="C133" s="248"/>
      <c r="D133" s="248"/>
      <c r="E133" s="248"/>
      <c r="F133" s="248"/>
      <c r="G133" s="248"/>
      <c r="H133" s="248"/>
      <c r="I133" s="248"/>
      <c r="J133" s="248" t="s">
        <v>376</v>
      </c>
      <c r="K133" s="298">
        <f>SUMIFS($AI$4:$AI$48,$V$4:$V$48,"",$X$4:$X$48,"Софт(TS)",$F$4:$F$48,19,$H$4:$H$48,2)</f>
        <v>0</v>
      </c>
      <c r="L133" s="300"/>
      <c r="M133" s="301">
        <f>Прайс!$G$74</f>
        <v>4350</v>
      </c>
      <c r="N133" s="245">
        <f t="shared" si="3"/>
        <v>0</v>
      </c>
      <c r="O133" s="300">
        <f>SUMIFS($T$14:$T$38,$P$14:$P$38,"Глянець",$Q$14:$Q$38,"Закрита пора",$F$14:$F$38,16,$R$14:$R$38,"Матове",$S$14:$S$38,"Відкрита пора",$O$14:$O$38,2)+SUMIFS($T$14:$T$38,$P$14:$P$38,"Глянець",$Q$14:$Q$38,"Закрита пора",$F$14:$F$38,10,$R$14:$R$38,"Матове",$S$14:$S$38,"Відкрита пора",$O$14:$O$38,2)+SUMIFS($T$14:$T$38,$P$14:$P$38,"Глянець",$Q$14:$Q$38,"Закрита пора",$F$14:$F$38,8,$R$14:$R$38,"Матове",$S$14:$S$38,"Відкрита пора",$O$14:$O$38,2)+SUMIFS($T$14:$T$38,$P$14:$P$38,"Глянець",$Q$14:$Q$38,"Закрита пора",$F$14:$F$38,6,$R$14:$R$38,"Матове",$S$14:$S$38,"Відкрита пора",$O$14:$O$38,2)+SUMIFS($T$14:$T$38,$P$14:$P$38,"Глянець",$Q$14:$Q$38,"Закрита пора",$F$14:$F$38,4,$R$14:$R$38,"Матове",$S$14:$S$38,"Відкрита пора",$O$14:$O$38,2)</f>
        <v>0</v>
      </c>
      <c r="P133" s="252"/>
      <c r="Q133" s="252"/>
      <c r="R133" s="248"/>
      <c r="S133" s="258"/>
      <c r="T133" s="259"/>
      <c r="U133" s="260"/>
      <c r="V133" s="260"/>
      <c r="AG133" s="262"/>
      <c r="AH133" s="262"/>
      <c r="AI133" s="262"/>
      <c r="AJ133" s="262"/>
      <c r="AK133" s="262"/>
      <c r="AL133" s="262"/>
      <c r="AM133" s="262"/>
      <c r="AN133" s="262"/>
      <c r="AO133" s="262"/>
      <c r="AP133" s="262"/>
      <c r="AQ133" s="263"/>
    </row>
    <row r="134" spans="1:43" s="261" customFormat="1" ht="15.75" x14ac:dyDescent="0.25">
      <c r="A134" s="163">
        <v>49</v>
      </c>
      <c r="B134" s="341" t="s">
        <v>697</v>
      </c>
      <c r="C134" s="248"/>
      <c r="D134" s="248"/>
      <c r="E134" s="248"/>
      <c r="F134" s="248"/>
      <c r="G134" s="248"/>
      <c r="H134" s="248"/>
      <c r="I134" s="248"/>
      <c r="J134" s="248" t="s">
        <v>376</v>
      </c>
      <c r="K134" s="298">
        <f>SUMIFS($AI$4:$AI$48,$V$4:$V$48,"",$X$4:$X$48,"Софт(TS)",$F$4:$F$48,22,$H$4:$H$48,1)</f>
        <v>0</v>
      </c>
      <c r="L134" s="300"/>
      <c r="M134" s="301">
        <f>Прайс!$F$74+700</f>
        <v>4630</v>
      </c>
      <c r="N134" s="245">
        <f t="shared" si="3"/>
        <v>0</v>
      </c>
      <c r="O134" s="300"/>
      <c r="P134" s="252"/>
      <c r="Q134" s="252"/>
      <c r="R134" s="248"/>
      <c r="S134" s="258"/>
      <c r="T134" s="259"/>
      <c r="U134" s="260"/>
      <c r="V134" s="260"/>
      <c r="AG134" s="262"/>
      <c r="AH134" s="262"/>
      <c r="AI134" s="262"/>
      <c r="AJ134" s="262"/>
      <c r="AK134" s="262"/>
      <c r="AL134" s="262"/>
      <c r="AM134" s="262"/>
      <c r="AN134" s="262"/>
      <c r="AO134" s="262"/>
      <c r="AP134" s="262"/>
      <c r="AQ134" s="263"/>
    </row>
    <row r="135" spans="1:43" s="261" customFormat="1" ht="15.75" x14ac:dyDescent="0.25">
      <c r="A135" s="163">
        <v>50</v>
      </c>
      <c r="B135" s="341" t="s">
        <v>698</v>
      </c>
      <c r="C135" s="248"/>
      <c r="D135" s="248"/>
      <c r="E135" s="248"/>
      <c r="F135" s="248"/>
      <c r="G135" s="248"/>
      <c r="H135" s="248"/>
      <c r="I135" s="248"/>
      <c r="J135" s="248" t="s">
        <v>376</v>
      </c>
      <c r="K135" s="298">
        <f>SUMIFS($AI$4:$AI$48,$V$4:$V$48,"",$X$4:$X$48,"Софт(TS)",$F$4:$F$48,22,$H$4:$H$48,2)</f>
        <v>0</v>
      </c>
      <c r="L135" s="300"/>
      <c r="M135" s="301">
        <f>Прайс!$G$74+700</f>
        <v>5050</v>
      </c>
      <c r="N135" s="245">
        <f t="shared" si="3"/>
        <v>0</v>
      </c>
      <c r="O135" s="300"/>
      <c r="P135" s="252"/>
      <c r="Q135" s="252"/>
      <c r="R135" s="248"/>
      <c r="S135" s="258"/>
      <c r="T135" s="259"/>
      <c r="U135" s="260"/>
      <c r="V135" s="260"/>
      <c r="AG135" s="262"/>
      <c r="AH135" s="262"/>
      <c r="AI135" s="262"/>
      <c r="AJ135" s="262"/>
      <c r="AK135" s="262"/>
      <c r="AL135" s="262"/>
      <c r="AM135" s="262"/>
      <c r="AN135" s="262"/>
      <c r="AO135" s="262"/>
      <c r="AP135" s="262"/>
      <c r="AQ135" s="263"/>
    </row>
    <row r="136" spans="1:43" s="261" customFormat="1" ht="15.75" x14ac:dyDescent="0.25">
      <c r="A136" s="163">
        <v>51</v>
      </c>
      <c r="B136" s="248" t="s">
        <v>400</v>
      </c>
      <c r="C136" s="248"/>
      <c r="D136" s="248"/>
      <c r="E136" s="248"/>
      <c r="F136" s="248"/>
      <c r="G136" s="248"/>
      <c r="H136" s="248"/>
      <c r="I136" s="248"/>
      <c r="J136" s="248" t="s">
        <v>376</v>
      </c>
      <c r="K136" s="298">
        <f>SUMIFS($AI$4:$AI$48,$Y$4:$Y$48,"Софт(TS)",$AB$4:$AB$48,"&gt;0",$H$4:$H$48,1)</f>
        <v>0</v>
      </c>
      <c r="L136" s="300"/>
      <c r="M136" s="301">
        <f>Прайс!$D$74/2</f>
        <v>1930</v>
      </c>
      <c r="N136" s="245">
        <f t="shared" si="3"/>
        <v>0</v>
      </c>
      <c r="O136" s="300">
        <f>SUMIFS($U$14:$U$38,$P$14:$P$38,"Глянець",$Q$14:$Q$38,"Закрита пора",$F$14:$F$38,19,$R$14:$R$38,"Матове",$S$14:$S$38,"Відкрита пора",$O$14:$O$38,1)</f>
        <v>0</v>
      </c>
      <c r="P136" s="252"/>
      <c r="Q136" s="252"/>
      <c r="R136" s="248"/>
      <c r="S136" s="258"/>
      <c r="T136" s="259"/>
      <c r="U136" s="260"/>
      <c r="V136" s="260"/>
      <c r="AG136" s="262"/>
      <c r="AH136" s="262"/>
      <c r="AI136" s="262"/>
      <c r="AJ136" s="262"/>
      <c r="AK136" s="262"/>
      <c r="AL136" s="262"/>
      <c r="AM136" s="262"/>
      <c r="AN136" s="262"/>
      <c r="AO136" s="262"/>
      <c r="AP136" s="262"/>
      <c r="AQ136" s="263"/>
    </row>
    <row r="137" spans="1:43" s="261" customFormat="1" ht="16.5" thickBot="1" x14ac:dyDescent="0.3">
      <c r="A137" s="163">
        <v>52</v>
      </c>
      <c r="B137" s="248" t="s">
        <v>401</v>
      </c>
      <c r="C137" s="250"/>
      <c r="D137" s="250"/>
      <c r="E137" s="250"/>
      <c r="F137" s="250"/>
      <c r="G137" s="250"/>
      <c r="H137" s="250"/>
      <c r="I137" s="250"/>
      <c r="J137" s="248" t="s">
        <v>376</v>
      </c>
      <c r="K137" s="298">
        <f>SUMIFS($AI$4:$AI$48,$Y$4:$Y$48,"Софт(TS)",$AB$4:$AB$48,"&gt;0",$H$4:$H$48,2)</f>
        <v>0</v>
      </c>
      <c r="L137" s="300"/>
      <c r="M137" s="301">
        <f>Прайс!$E$74/2</f>
        <v>2140</v>
      </c>
      <c r="N137" s="245">
        <f t="shared" si="3"/>
        <v>0</v>
      </c>
      <c r="O137" s="300">
        <f>SUMIFS($U$14:$U$38,$P$14:$P$38,"Глянець",$Q$14:$Q$38,"Закрита пора",$F$14:$F$38,19,$R$14:$R$38,"Матове",$S$14:$S$38,"Відкрита пора",$O$14:$O$38,2)</f>
        <v>0</v>
      </c>
      <c r="P137" s="252"/>
      <c r="Q137" s="252"/>
      <c r="R137" s="248"/>
      <c r="S137" s="258"/>
      <c r="T137" s="259"/>
      <c r="U137" s="260"/>
      <c r="V137" s="260"/>
      <c r="AG137" s="262"/>
      <c r="AH137" s="262"/>
      <c r="AI137" s="262"/>
      <c r="AJ137" s="262"/>
      <c r="AK137" s="262"/>
      <c r="AL137" s="262"/>
      <c r="AM137" s="262"/>
      <c r="AN137" s="262"/>
      <c r="AO137" s="262"/>
      <c r="AP137" s="262"/>
      <c r="AQ137" s="263"/>
    </row>
    <row r="138" spans="1:43" ht="15.75" x14ac:dyDescent="0.25">
      <c r="A138" s="163">
        <v>53</v>
      </c>
      <c r="B138" s="232" t="s">
        <v>402</v>
      </c>
      <c r="C138" s="233"/>
      <c r="D138" s="233"/>
      <c r="E138" s="233"/>
      <c r="F138" s="233"/>
      <c r="G138" s="233"/>
      <c r="H138" s="233"/>
      <c r="I138" s="233"/>
      <c r="J138" s="233" t="s">
        <v>376</v>
      </c>
      <c r="K138" s="243">
        <f>SUMIFS($AI$4:$AI$48,$V$4:$V$48,"",$X$4:$X$48,"Глянець",$F$4:$F$48,16,$H$4:$H$48,1)</f>
        <v>0</v>
      </c>
      <c r="L138" s="244"/>
      <c r="M138" s="226">
        <f>Прайс!$D$75</f>
        <v>4370</v>
      </c>
      <c r="N138" s="245">
        <f t="shared" si="3"/>
        <v>0</v>
      </c>
      <c r="O138" s="244">
        <f>SUMIFS($T$46:$T$50,$P$46:$P$50,"Матове",$Q$46:$Q$50,"Відкрита пора",$F$46:$F$50,16,$R$46:$R$50,"Нема",$S$46:$S$50,"Ламінат",$O$46:$O$50,1)</f>
        <v>0</v>
      </c>
      <c r="P138" s="234"/>
      <c r="Q138" s="234"/>
      <c r="R138" s="233"/>
      <c r="S138" s="204"/>
      <c r="T138" s="205"/>
      <c r="U138" s="235"/>
      <c r="V138" s="235"/>
      <c r="AG138" s="236"/>
      <c r="AH138" s="236"/>
      <c r="AI138" s="236"/>
      <c r="AJ138" s="236"/>
      <c r="AK138" s="236"/>
      <c r="AL138" s="236"/>
      <c r="AM138" s="236"/>
      <c r="AN138" s="236"/>
      <c r="AO138" s="236"/>
      <c r="AP138" s="236"/>
      <c r="AQ138" s="237"/>
    </row>
    <row r="139" spans="1:43" ht="15.75" x14ac:dyDescent="0.25">
      <c r="A139" s="163">
        <v>54</v>
      </c>
      <c r="B139" s="232" t="s">
        <v>403</v>
      </c>
      <c r="C139" s="233"/>
      <c r="D139" s="233"/>
      <c r="E139" s="233"/>
      <c r="F139" s="233"/>
      <c r="G139" s="233"/>
      <c r="H139" s="233"/>
      <c r="I139" s="233"/>
      <c r="J139" s="233" t="s">
        <v>376</v>
      </c>
      <c r="K139" s="243">
        <f>SUMIFS($AI$4:$AI$48,$V$4:$V$48,"",$X$4:$X$48,"Глянець",$F$4:$F$48,16,$H$4:$H$48,2)</f>
        <v>0</v>
      </c>
      <c r="L139" s="244"/>
      <c r="M139" s="226">
        <f>Прайс!$E$75</f>
        <v>4790</v>
      </c>
      <c r="N139" s="245">
        <f t="shared" si="3"/>
        <v>0</v>
      </c>
      <c r="O139" s="244">
        <f>SUMIFS($T$46:$T$50,$P$46:$P$50,"Матове",$Q$46:$Q$50,"Відкрита пора",$F$46:$F$50,16,$R$46:$R$50,"Нема",$S$46:$S$50,"Ламінат",$O$46:$O$50,2)</f>
        <v>0</v>
      </c>
      <c r="P139" s="234"/>
      <c r="Q139" s="234"/>
      <c r="R139" s="233"/>
      <c r="S139" s="204"/>
      <c r="T139" s="205"/>
      <c r="U139" s="235"/>
      <c r="V139" s="235"/>
      <c r="AG139" s="236"/>
      <c r="AH139" s="236"/>
      <c r="AI139" s="236"/>
      <c r="AJ139" s="236"/>
      <c r="AK139" s="236"/>
      <c r="AL139" s="236"/>
      <c r="AM139" s="236"/>
      <c r="AN139" s="236"/>
      <c r="AO139" s="236"/>
      <c r="AP139" s="236"/>
      <c r="AQ139" s="237"/>
    </row>
    <row r="140" spans="1:43" ht="15.75" x14ac:dyDescent="0.25">
      <c r="A140" s="163">
        <v>55</v>
      </c>
      <c r="B140" s="233" t="s">
        <v>404</v>
      </c>
      <c r="C140" s="233"/>
      <c r="D140" s="233"/>
      <c r="E140" s="233"/>
      <c r="F140" s="233"/>
      <c r="G140" s="233"/>
      <c r="H140" s="233"/>
      <c r="I140" s="233"/>
      <c r="J140" s="233" t="s">
        <v>376</v>
      </c>
      <c r="K140" s="243">
        <f>SUMIFS($AI$4:$AI$48,$V$4:$V$48,"",$X$4:$X$48,"Глянець",$F$4:$F$48,19,$H$4:$H$48,1)</f>
        <v>0</v>
      </c>
      <c r="L140" s="244"/>
      <c r="M140" s="226">
        <f>Прайс!$F$75</f>
        <v>4440</v>
      </c>
      <c r="N140" s="245">
        <f t="shared" si="3"/>
        <v>0</v>
      </c>
      <c r="O140" s="244">
        <f>SUMIFS($U$46:$U$50,$P$46:$P$50,"Матове",$Q$46:$Q$50,"Відкрита пора",$F$46:$F$50,19,$R$46:$R$50,"Нема",$S$46:$S$50,"Ламінат",$O$46:$O$50,1)</f>
        <v>0</v>
      </c>
      <c r="P140" s="234"/>
      <c r="Q140" s="234"/>
      <c r="R140" s="233"/>
      <c r="S140" s="204"/>
      <c r="T140" s="205"/>
      <c r="U140" s="235"/>
      <c r="V140" s="235"/>
      <c r="AG140" s="236"/>
      <c r="AH140" s="236"/>
      <c r="AI140" s="236"/>
      <c r="AJ140" s="236"/>
      <c r="AK140" s="236"/>
      <c r="AL140" s="236"/>
      <c r="AM140" s="236"/>
      <c r="AN140" s="236"/>
      <c r="AO140" s="236"/>
      <c r="AP140" s="236"/>
      <c r="AQ140" s="237"/>
    </row>
    <row r="141" spans="1:43" ht="15.75" x14ac:dyDescent="0.25">
      <c r="A141" s="163">
        <v>56</v>
      </c>
      <c r="B141" s="233" t="s">
        <v>405</v>
      </c>
      <c r="C141" s="233"/>
      <c r="D141" s="233"/>
      <c r="E141" s="233"/>
      <c r="F141" s="233"/>
      <c r="G141" s="233"/>
      <c r="H141" s="233"/>
      <c r="I141" s="233"/>
      <c r="J141" s="233" t="s">
        <v>376</v>
      </c>
      <c r="K141" s="243">
        <f>SUMIFS($AI$4:$AI$48,$V$4:$V$48,"",$X$4:$X$48,"Глянець",$F$4:$F$48,19,$H$4:$H$48,2)</f>
        <v>0</v>
      </c>
      <c r="L141" s="244"/>
      <c r="M141" s="226">
        <f>Прайс!$G$75</f>
        <v>4860</v>
      </c>
      <c r="N141" s="245">
        <f t="shared" si="3"/>
        <v>0</v>
      </c>
      <c r="O141" s="244">
        <f>SUMIFS($U$46:$U$50,$P$46:$P$50,"Матове",$Q$46:$Q$50,"Відкрита пора",$F$46:$F$50,19,$R$46:$R$50,"Нема",$S$46:$S$50,"Ламінат",$O$46:$O$50,2)</f>
        <v>0</v>
      </c>
      <c r="P141" s="234"/>
      <c r="Q141" s="234"/>
      <c r="R141" s="233"/>
      <c r="S141" s="204"/>
      <c r="T141" s="205"/>
      <c r="U141" s="235"/>
      <c r="V141" s="235"/>
      <c r="AG141" s="236"/>
      <c r="AH141" s="236"/>
      <c r="AI141" s="236"/>
      <c r="AJ141" s="236"/>
      <c r="AK141" s="236"/>
      <c r="AL141" s="236"/>
      <c r="AM141" s="236"/>
      <c r="AN141" s="236"/>
      <c r="AO141" s="236"/>
      <c r="AP141" s="236"/>
      <c r="AQ141" s="237"/>
    </row>
    <row r="142" spans="1:43" ht="15.75" x14ac:dyDescent="0.25">
      <c r="A142" s="163">
        <v>57</v>
      </c>
      <c r="B142" s="341" t="s">
        <v>699</v>
      </c>
      <c r="C142" s="233"/>
      <c r="D142" s="233"/>
      <c r="E142" s="233"/>
      <c r="F142" s="233"/>
      <c r="G142" s="233"/>
      <c r="H142" s="233"/>
      <c r="I142" s="233"/>
      <c r="J142" s="233" t="s">
        <v>376</v>
      </c>
      <c r="K142" s="243">
        <f>SUMIFS($AI$4:$AI$48,$V$4:$V$48,"",$X$4:$X$48,"Глянець",$F$4:$F$48,22,$H$4:$H$48,1)</f>
        <v>0</v>
      </c>
      <c r="L142" s="244"/>
      <c r="M142" s="226">
        <f>Прайс!$F$75+700</f>
        <v>5140</v>
      </c>
      <c r="N142" s="245">
        <f t="shared" si="3"/>
        <v>0</v>
      </c>
      <c r="O142" s="244"/>
      <c r="P142" s="234"/>
      <c r="Q142" s="234"/>
      <c r="R142" s="233"/>
      <c r="S142" s="204"/>
      <c r="T142" s="205"/>
      <c r="U142" s="235"/>
      <c r="V142" s="235"/>
      <c r="AG142" s="236"/>
      <c r="AH142" s="236"/>
      <c r="AI142" s="236"/>
      <c r="AJ142" s="236"/>
      <c r="AK142" s="236"/>
      <c r="AL142" s="236"/>
      <c r="AM142" s="236"/>
      <c r="AN142" s="236"/>
      <c r="AO142" s="236"/>
      <c r="AP142" s="236"/>
      <c r="AQ142" s="237"/>
    </row>
    <row r="143" spans="1:43" ht="15.75" x14ac:dyDescent="0.25">
      <c r="A143" s="163">
        <v>58</v>
      </c>
      <c r="B143" s="341" t="s">
        <v>700</v>
      </c>
      <c r="C143" s="233"/>
      <c r="D143" s="233"/>
      <c r="E143" s="233"/>
      <c r="F143" s="233"/>
      <c r="G143" s="233"/>
      <c r="H143" s="233"/>
      <c r="I143" s="233"/>
      <c r="J143" s="233" t="s">
        <v>376</v>
      </c>
      <c r="K143" s="243">
        <f>SUMIFS($AI$4:$AI$48,$V$4:$V$48,"",$X$4:$X$48,"Глянець",$F$4:$F$48,22,$H$4:$H$48,2)</f>
        <v>0</v>
      </c>
      <c r="L143" s="244"/>
      <c r="M143" s="226">
        <f>Прайс!$G$75+700</f>
        <v>5560</v>
      </c>
      <c r="N143" s="245">
        <f t="shared" si="3"/>
        <v>0</v>
      </c>
      <c r="O143" s="244"/>
      <c r="P143" s="234"/>
      <c r="Q143" s="234"/>
      <c r="R143" s="233"/>
      <c r="S143" s="204"/>
      <c r="T143" s="205"/>
      <c r="U143" s="235"/>
      <c r="V143" s="235"/>
      <c r="AG143" s="236"/>
      <c r="AH143" s="236"/>
      <c r="AI143" s="236"/>
      <c r="AJ143" s="236"/>
      <c r="AK143" s="236"/>
      <c r="AL143" s="236"/>
      <c r="AM143" s="236"/>
      <c r="AN143" s="236"/>
      <c r="AO143" s="236"/>
      <c r="AP143" s="236"/>
      <c r="AQ143" s="237"/>
    </row>
    <row r="144" spans="1:43" ht="15.75" x14ac:dyDescent="0.25">
      <c r="A144" s="163">
        <v>59</v>
      </c>
      <c r="B144" s="233" t="s">
        <v>406</v>
      </c>
      <c r="C144" s="233"/>
      <c r="D144" s="233"/>
      <c r="E144" s="233"/>
      <c r="F144" s="233"/>
      <c r="G144" s="233"/>
      <c r="H144" s="233"/>
      <c r="I144" s="233"/>
      <c r="J144" s="233" t="s">
        <v>376</v>
      </c>
      <c r="K144" s="246">
        <f>SUMIFS($AI$4:$AI$48,$Y$4:$Y$48,"Глянець",$AB$4:$AB$48,"&gt;0",$H$4:$H$48,1)</f>
        <v>0</v>
      </c>
      <c r="L144" s="244"/>
      <c r="M144" s="226">
        <f>Прайс!$D$75*0.5</f>
        <v>2185</v>
      </c>
      <c r="N144" s="245">
        <f t="shared" si="3"/>
        <v>0</v>
      </c>
      <c r="O144" s="244">
        <f>SUMIFS($T$46:$T$50,$P$46:$P$50,"Матове",$Q$46:$Q$50,"Закрита пора",$F$46:$F$50,16,$R$46:$R$50,"Нема",$S$46:$S$50,"Ламінат",$O$46:$O$50,1)</f>
        <v>0</v>
      </c>
      <c r="P144" s="234"/>
      <c r="Q144" s="234"/>
      <c r="R144" s="233"/>
      <c r="S144" s="204"/>
      <c r="T144" s="205"/>
      <c r="U144" s="235"/>
      <c r="V144" s="235"/>
      <c r="AG144" s="236"/>
      <c r="AH144" s="236"/>
      <c r="AI144" s="236"/>
      <c r="AJ144" s="236"/>
      <c r="AK144" s="236"/>
      <c r="AL144" s="236"/>
      <c r="AM144" s="236"/>
      <c r="AN144" s="236"/>
      <c r="AO144" s="236"/>
      <c r="AP144" s="236"/>
      <c r="AQ144" s="237"/>
    </row>
    <row r="145" spans="1:43" ht="15.75" x14ac:dyDescent="0.25">
      <c r="A145" s="163">
        <v>60</v>
      </c>
      <c r="B145" s="233" t="s">
        <v>407</v>
      </c>
      <c r="C145" s="233"/>
      <c r="D145" s="233"/>
      <c r="E145" s="233"/>
      <c r="F145" s="233"/>
      <c r="G145" s="233"/>
      <c r="H145" s="233"/>
      <c r="I145" s="233"/>
      <c r="J145" s="233" t="s">
        <v>376</v>
      </c>
      <c r="K145" s="246">
        <f>SUMIFS($AI$4:$AI$48,$Y$4:$Y$48,"Глянець",$AB$4:$AB$48,"&gt;0",$H$4:$H$48,2)</f>
        <v>0</v>
      </c>
      <c r="L145" s="244"/>
      <c r="M145" s="226">
        <f>Прайс!$E$75*0.5</f>
        <v>2395</v>
      </c>
      <c r="N145" s="245">
        <f t="shared" si="3"/>
        <v>0</v>
      </c>
      <c r="O145" s="244">
        <f>SUMIFS($T$46:$T$50,$P$46:$P$50,"Матове",$Q$46:$Q$50,"Закрита пора",$F$46:$F$50,16,$R$46:$R$50,"Нема",$S$46:$S$50,"Ламінат",$O$46:$O$50,2)</f>
        <v>0</v>
      </c>
      <c r="P145" s="234"/>
      <c r="Q145" s="234"/>
      <c r="R145" s="233"/>
      <c r="S145" s="204"/>
      <c r="T145" s="205"/>
      <c r="U145" s="235"/>
      <c r="V145" s="235"/>
      <c r="AG145" s="236"/>
      <c r="AH145" s="236"/>
      <c r="AI145" s="236"/>
      <c r="AJ145" s="236"/>
      <c r="AK145" s="236"/>
      <c r="AL145" s="236"/>
      <c r="AM145" s="236"/>
      <c r="AN145" s="236"/>
      <c r="AO145" s="236"/>
      <c r="AP145" s="236"/>
      <c r="AQ145" s="237"/>
    </row>
    <row r="146" spans="1:43" s="261" customFormat="1" ht="15.75" x14ac:dyDescent="0.25">
      <c r="A146" s="163">
        <v>61</v>
      </c>
      <c r="B146" s="248" t="s">
        <v>591</v>
      </c>
      <c r="C146" s="248"/>
      <c r="D146" s="248"/>
      <c r="E146" s="248"/>
      <c r="F146" s="248"/>
      <c r="G146" s="248"/>
      <c r="H146" s="248"/>
      <c r="I146" s="248"/>
      <c r="J146" s="248" t="s">
        <v>376</v>
      </c>
      <c r="K146" s="298">
        <f>SUMIFS($AI$4:$AI$48,$V$4:$V$48,"Перл.ср.",$H$4:$H$48,1,$F$4:$F$48,16)+SUMIFS($AI$4:$AI$48,$V$4:$V$48,"Перл.зол.",$H$4:$H$48,1,$F$4:$F$48,16)</f>
        <v>0</v>
      </c>
      <c r="L146" s="300"/>
      <c r="M146" s="301">
        <f>Прайс!$D$76</f>
        <v>4510</v>
      </c>
      <c r="N146" s="245">
        <f t="shared" si="3"/>
        <v>0</v>
      </c>
      <c r="O146" s="300">
        <f>SUMIFS($U$46:$U$50,$P$46:$P$50,"Матове",$Q$46:$Q$50,"Закрита пора",$F$46:$F$50,19,$R$46:$R$50,"Нема",$S$46:$S$50,"Ламінат",$O$46:$O$50,1)</f>
        <v>0</v>
      </c>
      <c r="P146" s="252"/>
      <c r="Q146" s="252"/>
      <c r="R146" s="248"/>
      <c r="S146" s="258"/>
      <c r="T146" s="259"/>
      <c r="U146" s="260"/>
      <c r="V146" s="260"/>
      <c r="AG146" s="262"/>
      <c r="AH146" s="262"/>
      <c r="AI146" s="262"/>
      <c r="AJ146" s="262"/>
      <c r="AK146" s="262"/>
      <c r="AL146" s="262"/>
      <c r="AM146" s="262"/>
      <c r="AN146" s="262"/>
      <c r="AO146" s="262"/>
      <c r="AP146" s="262"/>
      <c r="AQ146" s="263"/>
    </row>
    <row r="147" spans="1:43" s="261" customFormat="1" ht="15.75" x14ac:dyDescent="0.25">
      <c r="A147" s="163">
        <v>62</v>
      </c>
      <c r="B147" s="248" t="s">
        <v>592</v>
      </c>
      <c r="C147" s="248"/>
      <c r="D147" s="248"/>
      <c r="E147" s="248"/>
      <c r="F147" s="248"/>
      <c r="G147" s="248"/>
      <c r="H147" s="248"/>
      <c r="I147" s="248"/>
      <c r="J147" s="248" t="s">
        <v>376</v>
      </c>
      <c r="K147" s="298">
        <f>SUMIFS($AI$4:$AI$48,$V$4:$V$48,"Перл.ср.",$H$4:$H$48,2,$F$4:$F$48,16)+SUMIFS($AI$4:$AI$48,$V$4:$V$48,"Перл.зол.",$H$4:$H$48,2,$F$4:$F$48,16)</f>
        <v>0</v>
      </c>
      <c r="L147" s="300"/>
      <c r="M147" s="301">
        <f>Прайс!$E$76</f>
        <v>4930</v>
      </c>
      <c r="N147" s="245">
        <f t="shared" si="3"/>
        <v>0</v>
      </c>
      <c r="O147" s="300">
        <f>SUMIFS($U$46:$U$50,$P$46:$P$50,"Матове",$Q$46:$Q$50,"Закрита пора",$F$46:$F$50,19,$R$46:$R$50,"Нема",$S$46:$S$50,"Ламінат",$O$46:$O$50,2)</f>
        <v>0</v>
      </c>
      <c r="P147" s="252"/>
      <c r="Q147" s="252"/>
      <c r="R147" s="248"/>
      <c r="S147" s="258"/>
      <c r="T147" s="259"/>
      <c r="U147" s="260"/>
      <c r="V147" s="260"/>
      <c r="AG147" s="262"/>
      <c r="AH147" s="262"/>
      <c r="AI147" s="262"/>
      <c r="AJ147" s="262"/>
      <c r="AK147" s="262"/>
      <c r="AL147" s="262"/>
      <c r="AM147" s="262"/>
      <c r="AN147" s="262"/>
      <c r="AO147" s="262"/>
      <c r="AP147" s="262"/>
      <c r="AQ147" s="263"/>
    </row>
    <row r="148" spans="1:43" s="261" customFormat="1" ht="15.75" x14ac:dyDescent="0.25">
      <c r="A148" s="163">
        <v>63</v>
      </c>
      <c r="B148" s="248" t="s">
        <v>593</v>
      </c>
      <c r="C148" s="248"/>
      <c r="D148" s="248"/>
      <c r="E148" s="248"/>
      <c r="F148" s="248"/>
      <c r="G148" s="248"/>
      <c r="H148" s="248"/>
      <c r="I148" s="248"/>
      <c r="J148" s="248" t="s">
        <v>376</v>
      </c>
      <c r="K148" s="298">
        <f>SUMIFS($AI$4:$AI$48,$V$4:$V$48,"Перл.ср.",$H$4:$H$48,1,$F$4:$F$48,19)+SUMIFS($AI$4:$AI$48,$V$4:$V$48,"Перл.зол.",$H$4:$H$48,1,$F$4:$F$48,19)</f>
        <v>0</v>
      </c>
      <c r="L148" s="300"/>
      <c r="M148" s="301">
        <f>Прайс!$F$76</f>
        <v>4580</v>
      </c>
      <c r="N148" s="245">
        <f t="shared" si="3"/>
        <v>0</v>
      </c>
      <c r="O148" s="300">
        <f>SUMIFS($T$46:$T$50,$P$46:$P$50,"Глянець",$Q$46:$Q$50,"Закрита пора",$F$46:$F$50,16,$R$46:$R$50,"Нема",$S$46:$S$50,"Ламінат",$O$46:$O$50,1)</f>
        <v>0</v>
      </c>
      <c r="P148" s="252"/>
      <c r="Q148" s="252"/>
      <c r="R148" s="248"/>
      <c r="S148" s="258"/>
      <c r="T148" s="259"/>
      <c r="U148" s="260"/>
      <c r="V148" s="260"/>
      <c r="AG148" s="262"/>
      <c r="AH148" s="262"/>
      <c r="AI148" s="262"/>
      <c r="AJ148" s="262"/>
      <c r="AK148" s="262"/>
      <c r="AL148" s="262"/>
      <c r="AM148" s="262"/>
      <c r="AN148" s="262"/>
      <c r="AO148" s="262"/>
      <c r="AP148" s="262"/>
      <c r="AQ148" s="263"/>
    </row>
    <row r="149" spans="1:43" s="261" customFormat="1" ht="15.75" x14ac:dyDescent="0.25">
      <c r="A149" s="163">
        <v>64</v>
      </c>
      <c r="B149" s="248" t="s">
        <v>594</v>
      </c>
      <c r="C149" s="248"/>
      <c r="D149" s="248"/>
      <c r="E149" s="248"/>
      <c r="F149" s="248"/>
      <c r="G149" s="248"/>
      <c r="H149" s="248"/>
      <c r="I149" s="248"/>
      <c r="J149" s="248" t="s">
        <v>376</v>
      </c>
      <c r="K149" s="298">
        <f>SUMIFS($AI$4:$AI$48,$V$4:$V$48,"Перл.ср.",$H$4:$H$48,2,$F$4:$F$48,19)+SUMIFS($AI$4:$AI$48,$V$4:$V$48,"Перл.зол.",$H$4:$H$48,2,$F$4:$F$48,19)</f>
        <v>0</v>
      </c>
      <c r="L149" s="300"/>
      <c r="M149" s="301">
        <f>Прайс!$G$76</f>
        <v>5000</v>
      </c>
      <c r="N149" s="245">
        <f t="shared" si="3"/>
        <v>0</v>
      </c>
      <c r="O149" s="300">
        <f>SUMIFS($T$46:$T$50,$P$46:$P$50,"Глянець",$Q$46:$Q$50,"Закрита пора",$F$46:$F$50,16,$R$46:$R$50,"Нема",$S$46:$S$50,"Ламінат",$O$46:$O$50,2)</f>
        <v>0</v>
      </c>
      <c r="P149" s="252"/>
      <c r="Q149" s="252"/>
      <c r="R149" s="248"/>
      <c r="S149" s="258"/>
      <c r="T149" s="259"/>
      <c r="U149" s="260"/>
      <c r="V149" s="260"/>
      <c r="AG149" s="262"/>
      <c r="AH149" s="262"/>
      <c r="AI149" s="262"/>
      <c r="AJ149" s="262"/>
      <c r="AK149" s="262"/>
      <c r="AL149" s="262"/>
      <c r="AM149" s="262"/>
      <c r="AN149" s="262"/>
      <c r="AO149" s="262"/>
      <c r="AP149" s="262"/>
      <c r="AQ149" s="263"/>
    </row>
    <row r="150" spans="1:43" s="261" customFormat="1" ht="15.75" x14ac:dyDescent="0.25">
      <c r="A150" s="163">
        <v>65</v>
      </c>
      <c r="B150" s="341" t="s">
        <v>701</v>
      </c>
      <c r="C150" s="248"/>
      <c r="D150" s="248"/>
      <c r="E150" s="248"/>
      <c r="F150" s="248"/>
      <c r="G150" s="248"/>
      <c r="H150" s="248"/>
      <c r="I150" s="248"/>
      <c r="J150" s="248" t="s">
        <v>376</v>
      </c>
      <c r="K150" s="298">
        <f>SUMIFS($AI$4:$AI$48,$V$4:$V$48,"Перл.ср.",$H$4:$H$48,1,$F$4:$F$48,22)+SUMIFS($AI$4:$AI$48,$V$4:$V$48,"Перл.зол.",$H$4:$H$48,1,$F$4:$F$48,22)</f>
        <v>0</v>
      </c>
      <c r="L150" s="300"/>
      <c r="M150" s="301">
        <f>Прайс!$F$76+700</f>
        <v>5280</v>
      </c>
      <c r="N150" s="245">
        <f t="shared" si="3"/>
        <v>0</v>
      </c>
      <c r="O150" s="300"/>
      <c r="P150" s="252"/>
      <c r="Q150" s="252"/>
      <c r="R150" s="248"/>
      <c r="S150" s="258"/>
      <c r="T150" s="259"/>
      <c r="U150" s="260"/>
      <c r="V150" s="260"/>
      <c r="AG150" s="262"/>
      <c r="AH150" s="262"/>
      <c r="AI150" s="262"/>
      <c r="AJ150" s="262"/>
      <c r="AK150" s="262"/>
      <c r="AL150" s="262"/>
      <c r="AM150" s="262"/>
      <c r="AN150" s="262"/>
      <c r="AO150" s="262"/>
      <c r="AP150" s="262"/>
      <c r="AQ150" s="263"/>
    </row>
    <row r="151" spans="1:43" s="261" customFormat="1" ht="15.75" x14ac:dyDescent="0.25">
      <c r="A151" s="163">
        <v>66</v>
      </c>
      <c r="B151" s="341" t="s">
        <v>702</v>
      </c>
      <c r="C151" s="248"/>
      <c r="D151" s="248"/>
      <c r="E151" s="248"/>
      <c r="F151" s="248"/>
      <c r="G151" s="248"/>
      <c r="H151" s="248"/>
      <c r="I151" s="248"/>
      <c r="J151" s="248" t="s">
        <v>376</v>
      </c>
      <c r="K151" s="298">
        <f>SUMIFS($AI$4:$AI$48,$V$4:$V$48,"Перл.ср.",$H$4:$H$48,2,$F$4:$F$48,22)+SUMIFS($AI$4:$AI$48,$V$4:$V$48,"Перл.зол.",$H$4:$H$48,2,$F$4:$F$48,22)</f>
        <v>0</v>
      </c>
      <c r="L151" s="300"/>
      <c r="M151" s="301">
        <f>Прайс!$G$76+700</f>
        <v>5700</v>
      </c>
      <c r="N151" s="245">
        <f t="shared" si="3"/>
        <v>0</v>
      </c>
      <c r="O151" s="300"/>
      <c r="P151" s="252"/>
      <c r="Q151" s="252"/>
      <c r="R151" s="248"/>
      <c r="S151" s="258"/>
      <c r="T151" s="259"/>
      <c r="U151" s="260"/>
      <c r="V151" s="260"/>
      <c r="AG151" s="262"/>
      <c r="AH151" s="262"/>
      <c r="AI151" s="262"/>
      <c r="AJ151" s="262"/>
      <c r="AK151" s="262"/>
      <c r="AL151" s="262"/>
      <c r="AM151" s="262"/>
      <c r="AN151" s="262"/>
      <c r="AO151" s="262"/>
      <c r="AP151" s="262"/>
      <c r="AQ151" s="263"/>
    </row>
    <row r="152" spans="1:43" s="261" customFormat="1" ht="15.75" x14ac:dyDescent="0.25">
      <c r="A152" s="163">
        <v>67</v>
      </c>
      <c r="B152" s="248" t="s">
        <v>595</v>
      </c>
      <c r="C152" s="248"/>
      <c r="D152" s="248"/>
      <c r="E152" s="248"/>
      <c r="F152" s="248"/>
      <c r="G152" s="248"/>
      <c r="H152" s="248"/>
      <c r="I152" s="248"/>
      <c r="J152" s="248" t="s">
        <v>376</v>
      </c>
      <c r="K152" s="298"/>
      <c r="L152" s="300"/>
      <c r="M152" s="301"/>
      <c r="N152" s="245">
        <f t="shared" si="3"/>
        <v>0</v>
      </c>
      <c r="O152" s="300">
        <f>SUMIFS($U$46:$U$50,$P$46:$P$50,"Глянець",$Q$46:$Q$50,"Закрита пора",$F$46:$F$50,19,$R$46:$R$50,"Нема",$S$46:$S$50,"Ламінат",$O$46:$O$50,1)</f>
        <v>0</v>
      </c>
      <c r="P152" s="252"/>
      <c r="Q152" s="252"/>
      <c r="R152" s="248"/>
      <c r="S152" s="258"/>
      <c r="T152" s="259"/>
      <c r="U152" s="260"/>
      <c r="V152" s="260"/>
      <c r="AG152" s="262"/>
      <c r="AH152" s="262"/>
      <c r="AI152" s="262"/>
      <c r="AJ152" s="262"/>
      <c r="AK152" s="262"/>
      <c r="AL152" s="262"/>
      <c r="AM152" s="262"/>
      <c r="AN152" s="262"/>
      <c r="AO152" s="262"/>
      <c r="AP152" s="262"/>
      <c r="AQ152" s="263"/>
    </row>
    <row r="153" spans="1:43" s="261" customFormat="1" ht="15.75" x14ac:dyDescent="0.25">
      <c r="A153" s="163">
        <v>68</v>
      </c>
      <c r="B153" s="248" t="s">
        <v>596</v>
      </c>
      <c r="C153" s="248"/>
      <c r="D153" s="248"/>
      <c r="E153" s="248"/>
      <c r="F153" s="248"/>
      <c r="G153" s="248"/>
      <c r="H153" s="248"/>
      <c r="I153" s="248"/>
      <c r="J153" s="248" t="s">
        <v>376</v>
      </c>
      <c r="K153" s="298"/>
      <c r="L153" s="300"/>
      <c r="M153" s="301"/>
      <c r="N153" s="245">
        <f t="shared" si="3"/>
        <v>0</v>
      </c>
      <c r="O153" s="300">
        <f>SUMIFS($U$46:$U$50,$P$46:$P$50,"Глянець",$Q$46:$Q$50,"Закрита пора",$F$46:$F$50,19,$R$46:$R$50,"Нема",$S$46:$S$50,"Ламінат",$O$46:$O$50,2)</f>
        <v>0</v>
      </c>
      <c r="P153" s="252"/>
      <c r="Q153" s="252"/>
      <c r="R153" s="248"/>
      <c r="S153" s="258"/>
      <c r="T153" s="259"/>
      <c r="U153" s="260"/>
      <c r="V153" s="260"/>
      <c r="AG153" s="262"/>
      <c r="AH153" s="262"/>
      <c r="AI153" s="262"/>
      <c r="AJ153" s="262"/>
      <c r="AK153" s="262"/>
      <c r="AL153" s="262"/>
      <c r="AM153" s="262"/>
      <c r="AN153" s="262"/>
      <c r="AO153" s="262"/>
      <c r="AP153" s="262"/>
      <c r="AQ153" s="263"/>
    </row>
    <row r="154" spans="1:43" ht="15.75" x14ac:dyDescent="0.25">
      <c r="A154" s="163">
        <v>69</v>
      </c>
      <c r="B154" s="233" t="s">
        <v>597</v>
      </c>
      <c r="C154" s="233"/>
      <c r="D154" s="233"/>
      <c r="E154" s="233"/>
      <c r="F154" s="233"/>
      <c r="G154" s="233"/>
      <c r="H154" s="233"/>
      <c r="I154" s="233"/>
      <c r="J154" s="233" t="s">
        <v>376</v>
      </c>
      <c r="K154" s="298">
        <f>SUMIFS($AI$4:$AI$48,$V$4:$V$48,"Гума",$H$4:$H$48,1,$F$4:$F$48,16)</f>
        <v>0</v>
      </c>
      <c r="L154" s="244"/>
      <c r="M154" s="226">
        <f>Прайс!$D$77</f>
        <v>4510</v>
      </c>
      <c r="N154" s="245">
        <f t="shared" si="3"/>
        <v>0</v>
      </c>
      <c r="O154" s="244"/>
      <c r="P154" s="234"/>
      <c r="Q154" s="234"/>
      <c r="R154" s="233"/>
      <c r="S154" s="204"/>
      <c r="T154" s="205"/>
      <c r="U154" s="235"/>
      <c r="V154" s="235"/>
      <c r="AG154" s="236"/>
      <c r="AH154" s="236"/>
      <c r="AI154" s="236"/>
      <c r="AJ154" s="236"/>
      <c r="AK154" s="236"/>
      <c r="AL154" s="236"/>
      <c r="AM154" s="236"/>
      <c r="AN154" s="236"/>
      <c r="AO154" s="236"/>
      <c r="AP154" s="236"/>
      <c r="AQ154" s="237"/>
    </row>
    <row r="155" spans="1:43" ht="15.75" x14ac:dyDescent="0.25">
      <c r="A155" s="163">
        <v>70</v>
      </c>
      <c r="B155" s="233" t="s">
        <v>598</v>
      </c>
      <c r="C155" s="233"/>
      <c r="D155" s="233"/>
      <c r="E155" s="233"/>
      <c r="F155" s="233"/>
      <c r="G155" s="233"/>
      <c r="H155" s="233"/>
      <c r="I155" s="233"/>
      <c r="J155" s="233" t="s">
        <v>376</v>
      </c>
      <c r="K155" s="298">
        <f>SUMIFS($AI$4:$AI$48,$V$4:$V$48,"Гума",$H$4:$H$48,2,$F$4:$F$48,16)</f>
        <v>0</v>
      </c>
      <c r="L155" s="244"/>
      <c r="M155" s="226">
        <f>Прайс!$E$77</f>
        <v>4930</v>
      </c>
      <c r="N155" s="245">
        <f t="shared" si="3"/>
        <v>0</v>
      </c>
      <c r="O155" s="244"/>
      <c r="P155" s="234"/>
      <c r="Q155" s="234"/>
      <c r="R155" s="233"/>
      <c r="S155" s="204"/>
      <c r="T155" s="205"/>
      <c r="U155" s="235"/>
      <c r="V155" s="235"/>
      <c r="AG155" s="236"/>
      <c r="AH155" s="236"/>
      <c r="AI155" s="236"/>
      <c r="AJ155" s="236"/>
      <c r="AK155" s="236"/>
      <c r="AL155" s="236"/>
      <c r="AM155" s="236"/>
      <c r="AN155" s="236"/>
      <c r="AO155" s="236"/>
      <c r="AP155" s="236"/>
      <c r="AQ155" s="237"/>
    </row>
    <row r="156" spans="1:43" ht="15.75" x14ac:dyDescent="0.25">
      <c r="A156" s="163">
        <v>71</v>
      </c>
      <c r="B156" s="233" t="s">
        <v>599</v>
      </c>
      <c r="C156" s="233"/>
      <c r="D156" s="233"/>
      <c r="E156" s="233"/>
      <c r="F156" s="233"/>
      <c r="G156" s="233"/>
      <c r="H156" s="233"/>
      <c r="I156" s="233"/>
      <c r="J156" s="233" t="s">
        <v>376</v>
      </c>
      <c r="K156" s="298">
        <f>SUMIFS($AI$4:$AI$48,$V$4:$V$48,"Гума",$H$4:$H$48,1,$F$4:$F$48,19)</f>
        <v>0</v>
      </c>
      <c r="L156" s="244"/>
      <c r="M156" s="226">
        <f>Прайс!$F$77</f>
        <v>4580</v>
      </c>
      <c r="N156" s="245">
        <f t="shared" si="3"/>
        <v>0</v>
      </c>
      <c r="O156" s="244"/>
      <c r="P156" s="234"/>
      <c r="Q156" s="234"/>
      <c r="R156" s="233"/>
      <c r="S156" s="204"/>
      <c r="T156" s="205"/>
      <c r="U156" s="235"/>
      <c r="V156" s="235"/>
      <c r="AG156" s="236"/>
      <c r="AH156" s="236"/>
      <c r="AI156" s="236"/>
      <c r="AJ156" s="236"/>
      <c r="AK156" s="236"/>
      <c r="AL156" s="236"/>
      <c r="AM156" s="236"/>
      <c r="AN156" s="236"/>
      <c r="AO156" s="236"/>
      <c r="AP156" s="236"/>
      <c r="AQ156" s="237"/>
    </row>
    <row r="157" spans="1:43" ht="15.75" x14ac:dyDescent="0.25">
      <c r="A157" s="163">
        <v>72</v>
      </c>
      <c r="B157" s="233" t="s">
        <v>600</v>
      </c>
      <c r="C157" s="233"/>
      <c r="D157" s="233"/>
      <c r="E157" s="233"/>
      <c r="F157" s="233"/>
      <c r="G157" s="233"/>
      <c r="H157" s="233"/>
      <c r="I157" s="233"/>
      <c r="J157" s="233" t="s">
        <v>376</v>
      </c>
      <c r="K157" s="298">
        <f>SUMIFS($AI$4:$AI$48,$V$4:$V$48,"Гума",$H$4:$H$48,2,$F$4:$F$48,19)</f>
        <v>0</v>
      </c>
      <c r="L157" s="244"/>
      <c r="M157" s="226">
        <f>Прайс!$G$77</f>
        <v>5000</v>
      </c>
      <c r="N157" s="245">
        <f t="shared" si="3"/>
        <v>0</v>
      </c>
      <c r="O157" s="244"/>
      <c r="P157" s="234"/>
      <c r="Q157" s="234"/>
      <c r="R157" s="233"/>
      <c r="S157" s="204"/>
      <c r="T157" s="205"/>
      <c r="U157" s="235"/>
      <c r="V157" s="235"/>
      <c r="AG157" s="236"/>
      <c r="AH157" s="236"/>
      <c r="AI157" s="236"/>
      <c r="AJ157" s="236"/>
      <c r="AK157" s="236"/>
      <c r="AL157" s="236"/>
      <c r="AM157" s="236"/>
      <c r="AN157" s="236"/>
      <c r="AO157" s="236"/>
      <c r="AP157" s="236"/>
      <c r="AQ157" s="237"/>
    </row>
    <row r="158" spans="1:43" ht="15.75" x14ac:dyDescent="0.25">
      <c r="A158" s="163">
        <v>73</v>
      </c>
      <c r="B158" s="341" t="s">
        <v>703</v>
      </c>
      <c r="C158" s="233"/>
      <c r="D158" s="233"/>
      <c r="E158" s="233"/>
      <c r="F158" s="233"/>
      <c r="G158" s="233"/>
      <c r="H158" s="233"/>
      <c r="I158" s="233"/>
      <c r="J158" s="233" t="s">
        <v>376</v>
      </c>
      <c r="K158" s="298">
        <f>SUMIFS($AI$4:$AI$48,$V$4:$V$48,"Гума",$H$4:$H$48,1,$F$4:$F$48,22)</f>
        <v>0</v>
      </c>
      <c r="L158" s="244"/>
      <c r="M158" s="226">
        <f>Прайс!$F$77+700</f>
        <v>5280</v>
      </c>
      <c r="N158" s="245">
        <f t="shared" si="3"/>
        <v>0</v>
      </c>
      <c r="O158" s="244"/>
      <c r="P158" s="234"/>
      <c r="Q158" s="234"/>
      <c r="R158" s="233"/>
      <c r="S158" s="204"/>
      <c r="T158" s="205"/>
      <c r="U158" s="235"/>
      <c r="V158" s="235"/>
      <c r="AG158" s="236"/>
      <c r="AH158" s="236"/>
      <c r="AI158" s="236"/>
      <c r="AJ158" s="236"/>
      <c r="AK158" s="236"/>
      <c r="AL158" s="236"/>
      <c r="AM158" s="236"/>
      <c r="AN158" s="236"/>
      <c r="AO158" s="236"/>
      <c r="AP158" s="236"/>
      <c r="AQ158" s="237"/>
    </row>
    <row r="159" spans="1:43" ht="15.75" x14ac:dyDescent="0.25">
      <c r="A159" s="163">
        <v>74</v>
      </c>
      <c r="B159" s="341" t="s">
        <v>704</v>
      </c>
      <c r="C159" s="233"/>
      <c r="D159" s="233"/>
      <c r="E159" s="233"/>
      <c r="F159" s="233"/>
      <c r="G159" s="233"/>
      <c r="H159" s="233"/>
      <c r="I159" s="233"/>
      <c r="J159" s="233" t="s">
        <v>376</v>
      </c>
      <c r="K159" s="298">
        <f>SUMIFS($AI$4:$AI$48,$V$4:$V$48,"Гума",$H$4:$H$48,2,$F$4:$F$48,22)</f>
        <v>0</v>
      </c>
      <c r="L159" s="244"/>
      <c r="M159" s="226">
        <f>Прайс!$G$77+700</f>
        <v>5700</v>
      </c>
      <c r="N159" s="245">
        <f t="shared" si="3"/>
        <v>0</v>
      </c>
      <c r="O159" s="244"/>
      <c r="P159" s="234"/>
      <c r="Q159" s="234"/>
      <c r="R159" s="233"/>
      <c r="S159" s="204"/>
      <c r="T159" s="205"/>
      <c r="U159" s="235"/>
      <c r="V159" s="235"/>
      <c r="AG159" s="236"/>
      <c r="AH159" s="236"/>
      <c r="AI159" s="236"/>
      <c r="AJ159" s="236"/>
      <c r="AK159" s="236"/>
      <c r="AL159" s="236"/>
      <c r="AM159" s="236"/>
      <c r="AN159" s="236"/>
      <c r="AO159" s="236"/>
      <c r="AP159" s="236"/>
      <c r="AQ159" s="237"/>
    </row>
    <row r="160" spans="1:43" ht="15.75" x14ac:dyDescent="0.25">
      <c r="A160" s="163">
        <v>75</v>
      </c>
      <c r="B160" s="233" t="s">
        <v>601</v>
      </c>
      <c r="C160" s="233"/>
      <c r="D160" s="233"/>
      <c r="E160" s="233"/>
      <c r="F160" s="233"/>
      <c r="G160" s="233"/>
      <c r="H160" s="233"/>
      <c r="I160" s="233"/>
      <c r="J160" s="233" t="s">
        <v>376</v>
      </c>
      <c r="K160" s="298"/>
      <c r="L160" s="244"/>
      <c r="M160" s="226"/>
      <c r="N160" s="245">
        <f t="shared" si="3"/>
        <v>0</v>
      </c>
      <c r="O160" s="244"/>
      <c r="P160" s="234"/>
      <c r="Q160" s="234"/>
      <c r="R160" s="233"/>
      <c r="S160" s="204"/>
      <c r="T160" s="205"/>
      <c r="U160" s="235"/>
      <c r="V160" s="235"/>
      <c r="AG160" s="236"/>
      <c r="AH160" s="236"/>
      <c r="AI160" s="236"/>
      <c r="AJ160" s="236"/>
      <c r="AK160" s="236"/>
      <c r="AL160" s="236"/>
      <c r="AM160" s="236"/>
      <c r="AN160" s="236"/>
      <c r="AO160" s="236"/>
      <c r="AP160" s="236"/>
      <c r="AQ160" s="237"/>
    </row>
    <row r="161" spans="1:43" ht="15.75" x14ac:dyDescent="0.25">
      <c r="A161" s="163">
        <v>76</v>
      </c>
      <c r="B161" s="233" t="s">
        <v>602</v>
      </c>
      <c r="C161" s="233"/>
      <c r="D161" s="233"/>
      <c r="E161" s="233"/>
      <c r="F161" s="233"/>
      <c r="G161" s="233"/>
      <c r="H161" s="233"/>
      <c r="I161" s="233"/>
      <c r="J161" s="233" t="s">
        <v>376</v>
      </c>
      <c r="K161" s="298"/>
      <c r="L161" s="244"/>
      <c r="M161" s="226"/>
      <c r="N161" s="245">
        <f t="shared" si="3"/>
        <v>0</v>
      </c>
      <c r="O161" s="244"/>
      <c r="P161" s="234"/>
      <c r="Q161" s="234"/>
      <c r="R161" s="233"/>
      <c r="S161" s="204"/>
      <c r="T161" s="205"/>
      <c r="U161" s="235"/>
      <c r="V161" s="235"/>
      <c r="AG161" s="236"/>
      <c r="AH161" s="236"/>
      <c r="AI161" s="236"/>
      <c r="AJ161" s="236"/>
      <c r="AK161" s="236"/>
      <c r="AL161" s="236"/>
      <c r="AM161" s="236"/>
      <c r="AN161" s="236"/>
      <c r="AO161" s="236"/>
      <c r="AP161" s="236"/>
      <c r="AQ161" s="237"/>
    </row>
    <row r="162" spans="1:43" s="261" customFormat="1" ht="15.75" x14ac:dyDescent="0.25">
      <c r="A162" s="163">
        <v>77</v>
      </c>
      <c r="B162" s="248" t="s">
        <v>603</v>
      </c>
      <c r="C162" s="248"/>
      <c r="D162" s="248"/>
      <c r="E162" s="248"/>
      <c r="F162" s="248"/>
      <c r="G162" s="248"/>
      <c r="H162" s="248"/>
      <c r="I162" s="248"/>
      <c r="J162" s="248" t="s">
        <v>376</v>
      </c>
      <c r="K162" s="298">
        <f>SUMIFS($AI$4:$AI$48,$V$4:$V$48,"Металік",$H$4:$H$48,1,$F$4:$F$48,16)</f>
        <v>0</v>
      </c>
      <c r="L162" s="300"/>
      <c r="M162" s="301">
        <f>Прайс!$D$78</f>
        <v>4650</v>
      </c>
      <c r="N162" s="245">
        <f t="shared" si="3"/>
        <v>0</v>
      </c>
      <c r="O162" s="300"/>
      <c r="P162" s="252"/>
      <c r="Q162" s="252"/>
      <c r="R162" s="248"/>
      <c r="S162" s="258"/>
      <c r="T162" s="259"/>
      <c r="U162" s="260"/>
      <c r="V162" s="260"/>
      <c r="AG162" s="262"/>
      <c r="AH162" s="262"/>
      <c r="AI162" s="262"/>
      <c r="AJ162" s="262"/>
      <c r="AK162" s="262"/>
      <c r="AL162" s="262"/>
      <c r="AM162" s="262"/>
      <c r="AN162" s="262"/>
      <c r="AO162" s="262"/>
      <c r="AP162" s="262"/>
      <c r="AQ162" s="263"/>
    </row>
    <row r="163" spans="1:43" s="261" customFormat="1" ht="15.75" x14ac:dyDescent="0.25">
      <c r="A163" s="163">
        <v>78</v>
      </c>
      <c r="B163" s="248" t="s">
        <v>604</v>
      </c>
      <c r="C163" s="248"/>
      <c r="D163" s="248"/>
      <c r="E163" s="248"/>
      <c r="F163" s="248"/>
      <c r="G163" s="248"/>
      <c r="H163" s="248"/>
      <c r="I163" s="248"/>
      <c r="J163" s="248" t="s">
        <v>376</v>
      </c>
      <c r="K163" s="298">
        <f>SUMIFS($AI$4:$AI$48,$V$4:$V$48,"Металік",$H$4:$H$48,2,$F$4:$F$48,16)</f>
        <v>0</v>
      </c>
      <c r="L163" s="300"/>
      <c r="M163" s="301">
        <f>Прайс!$E$78</f>
        <v>5070</v>
      </c>
      <c r="N163" s="245">
        <f t="shared" si="3"/>
        <v>0</v>
      </c>
      <c r="O163" s="300"/>
      <c r="P163" s="252"/>
      <c r="Q163" s="252"/>
      <c r="R163" s="248"/>
      <c r="S163" s="258"/>
      <c r="T163" s="259"/>
      <c r="U163" s="260"/>
      <c r="V163" s="260"/>
      <c r="AG163" s="262"/>
      <c r="AH163" s="262"/>
      <c r="AI163" s="262"/>
      <c r="AJ163" s="262"/>
      <c r="AK163" s="262"/>
      <c r="AL163" s="262"/>
      <c r="AM163" s="262"/>
      <c r="AN163" s="262"/>
      <c r="AO163" s="262"/>
      <c r="AP163" s="262"/>
      <c r="AQ163" s="263"/>
    </row>
    <row r="164" spans="1:43" s="261" customFormat="1" ht="15.75" x14ac:dyDescent="0.25">
      <c r="A164" s="163">
        <v>79</v>
      </c>
      <c r="B164" s="248" t="s">
        <v>605</v>
      </c>
      <c r="C164" s="248"/>
      <c r="D164" s="248"/>
      <c r="E164" s="248"/>
      <c r="F164" s="248"/>
      <c r="G164" s="248"/>
      <c r="H164" s="248"/>
      <c r="I164" s="248"/>
      <c r="J164" s="248" t="s">
        <v>376</v>
      </c>
      <c r="K164" s="298">
        <f>SUMIFS($AI$4:$AI$48,$V$4:$V$48,"Металік",$H$4:$H$48,1,$F$4:$F$48,19)</f>
        <v>0</v>
      </c>
      <c r="L164" s="300"/>
      <c r="M164" s="301">
        <f>Прайс!$F$78</f>
        <v>4720</v>
      </c>
      <c r="N164" s="245">
        <f t="shared" si="3"/>
        <v>0</v>
      </c>
      <c r="O164" s="300"/>
      <c r="P164" s="252"/>
      <c r="Q164" s="252"/>
      <c r="R164" s="248"/>
      <c r="S164" s="258"/>
      <c r="T164" s="259"/>
      <c r="U164" s="260"/>
      <c r="V164" s="260"/>
      <c r="AG164" s="262"/>
      <c r="AH164" s="262"/>
      <c r="AI164" s="262"/>
      <c r="AJ164" s="262"/>
      <c r="AK164" s="262"/>
      <c r="AL164" s="262"/>
      <c r="AM164" s="262"/>
      <c r="AN164" s="262"/>
      <c r="AO164" s="262"/>
      <c r="AP164" s="262"/>
      <c r="AQ164" s="263"/>
    </row>
    <row r="165" spans="1:43" s="261" customFormat="1" ht="15.75" x14ac:dyDescent="0.25">
      <c r="A165" s="163">
        <v>80</v>
      </c>
      <c r="B165" s="248" t="s">
        <v>606</v>
      </c>
      <c r="C165" s="248"/>
      <c r="D165" s="248"/>
      <c r="E165" s="248"/>
      <c r="F165" s="248"/>
      <c r="G165" s="248"/>
      <c r="H165" s="248"/>
      <c r="I165" s="248"/>
      <c r="J165" s="248" t="s">
        <v>376</v>
      </c>
      <c r="K165" s="298">
        <f>SUMIFS($AI$4:$AI$48,$V$4:$V$48,"Металік",$H$4:$H$48,2,$F$4:$F$48,19)</f>
        <v>0</v>
      </c>
      <c r="L165" s="300"/>
      <c r="M165" s="301">
        <f>Прайс!$G$78</f>
        <v>5140</v>
      </c>
      <c r="N165" s="245">
        <f t="shared" si="3"/>
        <v>0</v>
      </c>
      <c r="O165" s="300"/>
      <c r="P165" s="252"/>
      <c r="Q165" s="252"/>
      <c r="R165" s="248"/>
      <c r="S165" s="258"/>
      <c r="T165" s="259"/>
      <c r="U165" s="260"/>
      <c r="V165" s="260"/>
      <c r="AG165" s="262"/>
      <c r="AH165" s="262"/>
      <c r="AI165" s="262"/>
      <c r="AJ165" s="262"/>
      <c r="AK165" s="262"/>
      <c r="AL165" s="262"/>
      <c r="AM165" s="262"/>
      <c r="AN165" s="262"/>
      <c r="AO165" s="262"/>
      <c r="AP165" s="262"/>
      <c r="AQ165" s="263"/>
    </row>
    <row r="166" spans="1:43" s="261" customFormat="1" ht="15.75" x14ac:dyDescent="0.25">
      <c r="A166" s="163">
        <v>81</v>
      </c>
      <c r="B166" s="341" t="s">
        <v>705</v>
      </c>
      <c r="C166" s="248"/>
      <c r="D166" s="248"/>
      <c r="E166" s="248"/>
      <c r="F166" s="248"/>
      <c r="G166" s="248"/>
      <c r="H166" s="248"/>
      <c r="I166" s="248"/>
      <c r="J166" s="248" t="s">
        <v>376</v>
      </c>
      <c r="K166" s="298">
        <f>SUMIFS($AI$4:$AI$48,$V$4:$V$48,"Металік",$H$4:$H$48,1,$F$4:$F$48,22)</f>
        <v>0</v>
      </c>
      <c r="L166" s="300"/>
      <c r="M166" s="301">
        <f>Прайс!$F$78+700</f>
        <v>5420</v>
      </c>
      <c r="N166" s="245">
        <f t="shared" si="3"/>
        <v>0</v>
      </c>
      <c r="O166" s="300"/>
      <c r="P166" s="252"/>
      <c r="Q166" s="252"/>
      <c r="R166" s="248"/>
      <c r="S166" s="258"/>
      <c r="T166" s="259"/>
      <c r="U166" s="260"/>
      <c r="V166" s="260"/>
      <c r="AG166" s="262"/>
      <c r="AH166" s="262"/>
      <c r="AI166" s="262"/>
      <c r="AJ166" s="262"/>
      <c r="AK166" s="262"/>
      <c r="AL166" s="262"/>
      <c r="AM166" s="262"/>
      <c r="AN166" s="262"/>
      <c r="AO166" s="262"/>
      <c r="AP166" s="262"/>
      <c r="AQ166" s="263"/>
    </row>
    <row r="167" spans="1:43" s="261" customFormat="1" ht="15.75" x14ac:dyDescent="0.25">
      <c r="A167" s="163">
        <v>82</v>
      </c>
      <c r="B167" s="341" t="s">
        <v>706</v>
      </c>
      <c r="C167" s="248"/>
      <c r="D167" s="248"/>
      <c r="E167" s="248"/>
      <c r="F167" s="248"/>
      <c r="G167" s="248"/>
      <c r="H167" s="248"/>
      <c r="I167" s="248"/>
      <c r="J167" s="248" t="s">
        <v>376</v>
      </c>
      <c r="K167" s="298">
        <f>SUMIFS($AI$4:$AI$48,$V$4:$V$48,"Металік",$H$4:$H$48,2,$F$4:$F$48,22)</f>
        <v>0</v>
      </c>
      <c r="L167" s="300"/>
      <c r="M167" s="301">
        <f>Прайс!$G$78+700</f>
        <v>5840</v>
      </c>
      <c r="N167" s="245">
        <f t="shared" si="3"/>
        <v>0</v>
      </c>
      <c r="O167" s="300"/>
      <c r="P167" s="252"/>
      <c r="Q167" s="252"/>
      <c r="R167" s="248"/>
      <c r="S167" s="258"/>
      <c r="T167" s="259"/>
      <c r="U167" s="260"/>
      <c r="V167" s="260"/>
      <c r="AG167" s="262"/>
      <c r="AH167" s="262"/>
      <c r="AI167" s="262"/>
      <c r="AJ167" s="262"/>
      <c r="AK167" s="262"/>
      <c r="AL167" s="262"/>
      <c r="AM167" s="262"/>
      <c r="AN167" s="262"/>
      <c r="AO167" s="262"/>
      <c r="AP167" s="262"/>
      <c r="AQ167" s="263"/>
    </row>
    <row r="168" spans="1:43" s="261" customFormat="1" ht="15.75" x14ac:dyDescent="0.25">
      <c r="A168" s="163">
        <v>83</v>
      </c>
      <c r="B168" s="248" t="s">
        <v>607</v>
      </c>
      <c r="C168" s="248"/>
      <c r="D168" s="248"/>
      <c r="E168" s="248"/>
      <c r="F168" s="248"/>
      <c r="G168" s="248"/>
      <c r="H168" s="248"/>
      <c r="I168" s="248"/>
      <c r="J168" s="248" t="s">
        <v>376</v>
      </c>
      <c r="K168" s="298"/>
      <c r="L168" s="300"/>
      <c r="M168" s="301"/>
      <c r="N168" s="245">
        <f t="shared" si="3"/>
        <v>0</v>
      </c>
      <c r="O168" s="300"/>
      <c r="P168" s="252"/>
      <c r="Q168" s="252"/>
      <c r="R168" s="248"/>
      <c r="S168" s="258"/>
      <c r="T168" s="259"/>
      <c r="U168" s="260"/>
      <c r="V168" s="260"/>
      <c r="AG168" s="262"/>
      <c r="AH168" s="262"/>
      <c r="AI168" s="262"/>
      <c r="AJ168" s="262"/>
      <c r="AK168" s="262"/>
      <c r="AL168" s="262"/>
      <c r="AM168" s="262"/>
      <c r="AN168" s="262"/>
      <c r="AO168" s="262"/>
      <c r="AP168" s="262"/>
      <c r="AQ168" s="263"/>
    </row>
    <row r="169" spans="1:43" s="261" customFormat="1" ht="15.75" x14ac:dyDescent="0.25">
      <c r="A169" s="163">
        <v>84</v>
      </c>
      <c r="B169" s="248" t="s">
        <v>608</v>
      </c>
      <c r="C169" s="248"/>
      <c r="D169" s="248"/>
      <c r="E169" s="248"/>
      <c r="F169" s="248"/>
      <c r="G169" s="248"/>
      <c r="H169" s="248"/>
      <c r="I169" s="248"/>
      <c r="J169" s="248" t="s">
        <v>376</v>
      </c>
      <c r="K169" s="298"/>
      <c r="L169" s="300"/>
      <c r="M169" s="301"/>
      <c r="N169" s="245">
        <f t="shared" ref="N169:N252" si="4">K169*M169</f>
        <v>0</v>
      </c>
      <c r="O169" s="300"/>
      <c r="P169" s="252"/>
      <c r="Q169" s="252"/>
      <c r="R169" s="248"/>
      <c r="S169" s="258"/>
      <c r="T169" s="259"/>
      <c r="U169" s="260"/>
      <c r="V169" s="260"/>
      <c r="AG169" s="262"/>
      <c r="AH169" s="262"/>
      <c r="AI169" s="262"/>
      <c r="AJ169" s="262"/>
      <c r="AK169" s="262"/>
      <c r="AL169" s="262"/>
      <c r="AM169" s="262"/>
      <c r="AN169" s="262"/>
      <c r="AO169" s="262"/>
      <c r="AP169" s="262"/>
      <c r="AQ169" s="263"/>
    </row>
    <row r="170" spans="1:43" ht="15.75" x14ac:dyDescent="0.25">
      <c r="A170" s="163">
        <v>85</v>
      </c>
      <c r="B170" s="233" t="s">
        <v>609</v>
      </c>
      <c r="C170" s="233"/>
      <c r="D170" s="233"/>
      <c r="E170" s="233"/>
      <c r="F170" s="233"/>
      <c r="G170" s="233"/>
      <c r="H170" s="233"/>
      <c r="I170" s="233"/>
      <c r="J170" s="233" t="s">
        <v>376</v>
      </c>
      <c r="K170" s="298">
        <f>SUMIFS($AI$4:$AI$48,$V$4:$V$48,"Рідке скло",$H$4:$H$48,1,$F$4:$F$48,16)</f>
        <v>0</v>
      </c>
      <c r="L170" s="244"/>
      <c r="M170" s="226">
        <f>Прайс!$D$79</f>
        <v>4650</v>
      </c>
      <c r="N170" s="245">
        <f t="shared" si="4"/>
        <v>0</v>
      </c>
      <c r="O170" s="244"/>
      <c r="P170" s="234"/>
      <c r="Q170" s="234"/>
      <c r="R170" s="233"/>
      <c r="S170" s="204"/>
      <c r="T170" s="205"/>
      <c r="U170" s="235"/>
      <c r="V170" s="235"/>
      <c r="AG170" s="236"/>
      <c r="AH170" s="236"/>
      <c r="AI170" s="236"/>
      <c r="AJ170" s="236"/>
      <c r="AK170" s="236"/>
      <c r="AL170" s="236"/>
      <c r="AM170" s="236"/>
      <c r="AN170" s="236"/>
      <c r="AO170" s="236"/>
      <c r="AP170" s="236"/>
      <c r="AQ170" s="237"/>
    </row>
    <row r="171" spans="1:43" ht="15.75" x14ac:dyDescent="0.25">
      <c r="A171" s="163">
        <v>86</v>
      </c>
      <c r="B171" s="233" t="s">
        <v>610</v>
      </c>
      <c r="C171" s="233"/>
      <c r="D171" s="233"/>
      <c r="E171" s="233"/>
      <c r="F171" s="233"/>
      <c r="G171" s="233"/>
      <c r="H171" s="233"/>
      <c r="I171" s="233"/>
      <c r="J171" s="233" t="s">
        <v>376</v>
      </c>
      <c r="K171" s="298">
        <f>SUMIFS($AI$4:$AI$48,$V$4:$V$48,"Рідке скло",$H$4:$H$48,2,$F$4:$F$48,16)</f>
        <v>0</v>
      </c>
      <c r="L171" s="244"/>
      <c r="M171" s="226">
        <f>Прайс!$E$79</f>
        <v>5070</v>
      </c>
      <c r="N171" s="245">
        <f t="shared" si="4"/>
        <v>0</v>
      </c>
      <c r="O171" s="244"/>
      <c r="P171" s="234"/>
      <c r="Q171" s="234"/>
      <c r="R171" s="233"/>
      <c r="S171" s="204"/>
      <c r="T171" s="205"/>
      <c r="U171" s="235"/>
      <c r="V171" s="235"/>
      <c r="AG171" s="236"/>
      <c r="AH171" s="236"/>
      <c r="AI171" s="236"/>
      <c r="AJ171" s="236"/>
      <c r="AK171" s="236"/>
      <c r="AL171" s="236"/>
      <c r="AM171" s="236"/>
      <c r="AN171" s="236"/>
      <c r="AO171" s="236"/>
      <c r="AP171" s="236"/>
      <c r="AQ171" s="237"/>
    </row>
    <row r="172" spans="1:43" ht="15.75" x14ac:dyDescent="0.25">
      <c r="A172" s="163">
        <v>87</v>
      </c>
      <c r="B172" s="233" t="s">
        <v>611</v>
      </c>
      <c r="C172" s="233"/>
      <c r="D172" s="233"/>
      <c r="E172" s="233"/>
      <c r="F172" s="233"/>
      <c r="G172" s="233"/>
      <c r="H172" s="233"/>
      <c r="I172" s="233"/>
      <c r="J172" s="233" t="s">
        <v>376</v>
      </c>
      <c r="K172" s="298">
        <f>SUMIFS($AI$4:$AI$48,$V$4:$V$48,"Рідке скло",$H$4:$H$48,1,$F$4:$F$48,19)</f>
        <v>0</v>
      </c>
      <c r="L172" s="244"/>
      <c r="M172" s="226">
        <f>Прайс!$F$79</f>
        <v>4720</v>
      </c>
      <c r="N172" s="245">
        <f t="shared" si="4"/>
        <v>0</v>
      </c>
      <c r="O172" s="244"/>
      <c r="P172" s="234"/>
      <c r="Q172" s="234"/>
      <c r="R172" s="233"/>
      <c r="S172" s="204"/>
      <c r="T172" s="205"/>
      <c r="U172" s="235"/>
      <c r="V172" s="235"/>
      <c r="AG172" s="236"/>
      <c r="AH172" s="236"/>
      <c r="AI172" s="236"/>
      <c r="AJ172" s="236"/>
      <c r="AK172" s="236"/>
      <c r="AL172" s="236"/>
      <c r="AM172" s="236"/>
      <c r="AN172" s="236"/>
      <c r="AO172" s="236"/>
      <c r="AP172" s="236"/>
      <c r="AQ172" s="237"/>
    </row>
    <row r="173" spans="1:43" ht="15.75" x14ac:dyDescent="0.25">
      <c r="A173" s="163">
        <v>88</v>
      </c>
      <c r="B173" s="233" t="s">
        <v>612</v>
      </c>
      <c r="C173" s="233"/>
      <c r="D173" s="233"/>
      <c r="E173" s="233"/>
      <c r="F173" s="233"/>
      <c r="G173" s="233"/>
      <c r="H173" s="233"/>
      <c r="I173" s="233"/>
      <c r="J173" s="233" t="s">
        <v>376</v>
      </c>
      <c r="K173" s="298">
        <f>SUMIFS($AI$4:$AI$48,$V$4:$V$48,"Рідке скло",$H$4:$H$48,2,$F$4:$F$48,19)</f>
        <v>0</v>
      </c>
      <c r="L173" s="244"/>
      <c r="M173" s="226">
        <f>Прайс!$G$79</f>
        <v>5140</v>
      </c>
      <c r="N173" s="245">
        <f t="shared" si="4"/>
        <v>0</v>
      </c>
      <c r="O173" s="244"/>
      <c r="P173" s="234"/>
      <c r="Q173" s="234"/>
      <c r="R173" s="233"/>
      <c r="S173" s="204"/>
      <c r="T173" s="205"/>
      <c r="U173" s="235"/>
      <c r="V173" s="235"/>
      <c r="AG173" s="236"/>
      <c r="AH173" s="236"/>
      <c r="AI173" s="236"/>
      <c r="AJ173" s="236"/>
      <c r="AK173" s="236"/>
      <c r="AL173" s="236"/>
      <c r="AM173" s="236"/>
      <c r="AN173" s="236"/>
      <c r="AO173" s="236"/>
      <c r="AP173" s="236"/>
      <c r="AQ173" s="237"/>
    </row>
    <row r="174" spans="1:43" ht="15.75" x14ac:dyDescent="0.25">
      <c r="A174" s="163">
        <v>89</v>
      </c>
      <c r="B174" s="341" t="s">
        <v>707</v>
      </c>
      <c r="C174" s="233"/>
      <c r="D174" s="233"/>
      <c r="E174" s="233"/>
      <c r="F174" s="233"/>
      <c r="G174" s="233"/>
      <c r="H174" s="233"/>
      <c r="I174" s="233"/>
      <c r="J174" s="233" t="s">
        <v>376</v>
      </c>
      <c r="K174" s="298">
        <f>SUMIFS($AI$4:$AI$48,$V$4:$V$48,"Рідке скло",$H$4:$H$48,1,$F$4:$F$48,22)</f>
        <v>0</v>
      </c>
      <c r="L174" s="244"/>
      <c r="M174" s="226">
        <f>Прайс!$F$79+700</f>
        <v>5420</v>
      </c>
      <c r="N174" s="245">
        <f t="shared" si="4"/>
        <v>0</v>
      </c>
      <c r="O174" s="244"/>
      <c r="P174" s="234"/>
      <c r="Q174" s="234"/>
      <c r="R174" s="233"/>
      <c r="S174" s="204"/>
      <c r="T174" s="205"/>
      <c r="U174" s="235"/>
      <c r="V174" s="235"/>
      <c r="AG174" s="236"/>
      <c r="AH174" s="236"/>
      <c r="AI174" s="236"/>
      <c r="AJ174" s="236"/>
      <c r="AK174" s="236"/>
      <c r="AL174" s="236"/>
      <c r="AM174" s="236"/>
      <c r="AN174" s="236"/>
      <c r="AO174" s="236"/>
      <c r="AP174" s="236"/>
      <c r="AQ174" s="237"/>
    </row>
    <row r="175" spans="1:43" ht="15.75" x14ac:dyDescent="0.25">
      <c r="A175" s="163">
        <v>90</v>
      </c>
      <c r="B175" s="341" t="s">
        <v>708</v>
      </c>
      <c r="C175" s="233"/>
      <c r="D175" s="233"/>
      <c r="E175" s="233"/>
      <c r="F175" s="233"/>
      <c r="G175" s="233"/>
      <c r="H175" s="233"/>
      <c r="I175" s="233"/>
      <c r="J175" s="233" t="s">
        <v>376</v>
      </c>
      <c r="K175" s="298">
        <f>SUMIFS($AI$4:$AI$48,$V$4:$V$48,"Рідке скло",$H$4:$H$48,2,$F$4:$F$48,22)</f>
        <v>0</v>
      </c>
      <c r="L175" s="244"/>
      <c r="M175" s="226">
        <f>Прайс!$G$79+700</f>
        <v>5840</v>
      </c>
      <c r="N175" s="245">
        <f t="shared" si="4"/>
        <v>0</v>
      </c>
      <c r="O175" s="244"/>
      <c r="P175" s="234"/>
      <c r="Q175" s="234"/>
      <c r="R175" s="233"/>
      <c r="S175" s="204"/>
      <c r="T175" s="205"/>
      <c r="U175" s="235"/>
      <c r="V175" s="235"/>
      <c r="AG175" s="236"/>
      <c r="AH175" s="236"/>
      <c r="AI175" s="236"/>
      <c r="AJ175" s="236"/>
      <c r="AK175" s="236"/>
      <c r="AL175" s="236"/>
      <c r="AM175" s="236"/>
      <c r="AN175" s="236"/>
      <c r="AO175" s="236"/>
      <c r="AP175" s="236"/>
      <c r="AQ175" s="237"/>
    </row>
    <row r="176" spans="1:43" ht="15.75" x14ac:dyDescent="0.25">
      <c r="A176" s="163">
        <v>91</v>
      </c>
      <c r="B176" s="233" t="s">
        <v>613</v>
      </c>
      <c r="C176" s="233"/>
      <c r="D176" s="233"/>
      <c r="E176" s="233"/>
      <c r="F176" s="233"/>
      <c r="G176" s="233"/>
      <c r="H176" s="233"/>
      <c r="I176" s="233"/>
      <c r="J176" s="233" t="s">
        <v>376</v>
      </c>
      <c r="K176" s="298"/>
      <c r="L176" s="244"/>
      <c r="M176" s="226"/>
      <c r="N176" s="245">
        <f t="shared" si="4"/>
        <v>0</v>
      </c>
      <c r="O176" s="244"/>
      <c r="P176" s="234"/>
      <c r="Q176" s="234"/>
      <c r="R176" s="233"/>
      <c r="S176" s="204"/>
      <c r="T176" s="205"/>
      <c r="U176" s="235"/>
      <c r="V176" s="235"/>
      <c r="AG176" s="236"/>
      <c r="AH176" s="236"/>
      <c r="AI176" s="236"/>
      <c r="AJ176" s="236"/>
      <c r="AK176" s="236"/>
      <c r="AL176" s="236"/>
      <c r="AM176" s="236"/>
      <c r="AN176" s="236"/>
      <c r="AO176" s="236"/>
      <c r="AP176" s="236"/>
      <c r="AQ176" s="237"/>
    </row>
    <row r="177" spans="1:43" ht="15.75" x14ac:dyDescent="0.25">
      <c r="A177" s="163">
        <v>92</v>
      </c>
      <c r="B177" s="233" t="s">
        <v>614</v>
      </c>
      <c r="C177" s="233"/>
      <c r="D177" s="233"/>
      <c r="E177" s="233"/>
      <c r="F177" s="233"/>
      <c r="G177" s="233"/>
      <c r="H177" s="233"/>
      <c r="I177" s="233"/>
      <c r="J177" s="233" t="s">
        <v>376</v>
      </c>
      <c r="K177" s="298"/>
      <c r="L177" s="244"/>
      <c r="M177" s="226"/>
      <c r="N177" s="245">
        <f t="shared" si="4"/>
        <v>0</v>
      </c>
      <c r="O177" s="244"/>
      <c r="P177" s="234"/>
      <c r="Q177" s="234"/>
      <c r="R177" s="233"/>
      <c r="S177" s="204"/>
      <c r="T177" s="205"/>
      <c r="U177" s="235"/>
      <c r="V177" s="235"/>
      <c r="AG177" s="236"/>
      <c r="AH177" s="236"/>
      <c r="AI177" s="236"/>
      <c r="AJ177" s="236"/>
      <c r="AK177" s="236"/>
      <c r="AL177" s="236"/>
      <c r="AM177" s="236"/>
      <c r="AN177" s="236"/>
      <c r="AO177" s="236"/>
      <c r="AP177" s="236"/>
      <c r="AQ177" s="237"/>
    </row>
    <row r="178" spans="1:43" s="261" customFormat="1" ht="15.75" x14ac:dyDescent="0.25">
      <c r="A178" s="163">
        <v>93</v>
      </c>
      <c r="B178" s="248" t="s">
        <v>615</v>
      </c>
      <c r="C178" s="248"/>
      <c r="D178" s="248"/>
      <c r="E178" s="248"/>
      <c r="F178" s="248"/>
      <c r="G178" s="248"/>
      <c r="H178" s="248"/>
      <c r="I178" s="248"/>
      <c r="J178" s="248" t="s">
        <v>376</v>
      </c>
      <c r="K178" s="298">
        <f>SUMIFS($AI$4:$AI$48,$V$4:$V$48,"Перли",$H$4:$H$48,1,$F$4:$F$48,16)+SUMIFS($AI$4:$AI$48,$V$4:$V$48,"Графіт",$H$4:$H$48,1,$F$4:$F$48,16)</f>
        <v>0</v>
      </c>
      <c r="L178" s="300"/>
      <c r="M178" s="301">
        <f>Прайс!$D$80</f>
        <v>4790</v>
      </c>
      <c r="N178" s="245">
        <f t="shared" si="4"/>
        <v>0</v>
      </c>
      <c r="O178" s="300"/>
      <c r="P178" s="252"/>
      <c r="Q178" s="252"/>
      <c r="R178" s="248"/>
      <c r="S178" s="258"/>
      <c r="T178" s="259"/>
      <c r="U178" s="260"/>
      <c r="V178" s="260"/>
      <c r="AG178" s="262"/>
      <c r="AH178" s="262"/>
      <c r="AI178" s="262"/>
      <c r="AJ178" s="262"/>
      <c r="AK178" s="262"/>
      <c r="AL178" s="262"/>
      <c r="AM178" s="262"/>
      <c r="AN178" s="262"/>
      <c r="AO178" s="262"/>
      <c r="AP178" s="262"/>
      <c r="AQ178" s="263"/>
    </row>
    <row r="179" spans="1:43" s="261" customFormat="1" ht="15.75" x14ac:dyDescent="0.25">
      <c r="A179" s="163">
        <v>94</v>
      </c>
      <c r="B179" s="248" t="s">
        <v>616</v>
      </c>
      <c r="C179" s="248"/>
      <c r="D179" s="248"/>
      <c r="E179" s="248"/>
      <c r="F179" s="248"/>
      <c r="G179" s="248"/>
      <c r="H179" s="248"/>
      <c r="I179" s="248"/>
      <c r="J179" s="248" t="s">
        <v>376</v>
      </c>
      <c r="K179" s="298">
        <f>SUMIFS($AI$4:$AI$48,$V$4:$V$48,"Перли",$H$4:$H$48,2,$F$4:$F$48,16)+SUMIFS($AI$4:$AI$48,$V$4:$V$48,"Графіт",$H$4:$H$48,2,$F$4:$F$48,16)</f>
        <v>0</v>
      </c>
      <c r="L179" s="300"/>
      <c r="M179" s="301">
        <f>Прайс!$E$80</f>
        <v>5210</v>
      </c>
      <c r="N179" s="245">
        <f t="shared" si="4"/>
        <v>0</v>
      </c>
      <c r="O179" s="300"/>
      <c r="P179" s="252"/>
      <c r="Q179" s="252"/>
      <c r="R179" s="248"/>
      <c r="S179" s="258"/>
      <c r="T179" s="259"/>
      <c r="U179" s="260"/>
      <c r="V179" s="260"/>
      <c r="AG179" s="262"/>
      <c r="AH179" s="262"/>
      <c r="AI179" s="262"/>
      <c r="AJ179" s="262"/>
      <c r="AK179" s="262"/>
      <c r="AL179" s="262"/>
      <c r="AM179" s="262"/>
      <c r="AN179" s="262"/>
      <c r="AO179" s="262"/>
      <c r="AP179" s="262"/>
      <c r="AQ179" s="263"/>
    </row>
    <row r="180" spans="1:43" s="261" customFormat="1" ht="15.75" x14ac:dyDescent="0.25">
      <c r="A180" s="163">
        <v>95</v>
      </c>
      <c r="B180" s="248" t="s">
        <v>617</v>
      </c>
      <c r="C180" s="248"/>
      <c r="D180" s="248"/>
      <c r="E180" s="248"/>
      <c r="F180" s="248"/>
      <c r="G180" s="248"/>
      <c r="H180" s="248"/>
      <c r="I180" s="248"/>
      <c r="J180" s="248" t="s">
        <v>376</v>
      </c>
      <c r="K180" s="298">
        <f>SUMIFS($AI$4:$AI$48,$V$4:$V$48,"Перли",$H$4:$H$48,1,$F$4:$F$48,19)+SUMIFS($AI$4:$AI$48,$V$4:$V$48,"Графіт",$H$4:$H$48,1,$F$4:$F$48,19)</f>
        <v>0</v>
      </c>
      <c r="L180" s="300"/>
      <c r="M180" s="301">
        <f>Прайс!$F$80</f>
        <v>4860</v>
      </c>
      <c r="N180" s="245">
        <f t="shared" si="4"/>
        <v>0</v>
      </c>
      <c r="O180" s="300"/>
      <c r="P180" s="252"/>
      <c r="Q180" s="252"/>
      <c r="R180" s="248"/>
      <c r="S180" s="258"/>
      <c r="T180" s="259"/>
      <c r="U180" s="260"/>
      <c r="V180" s="260"/>
      <c r="AG180" s="262"/>
      <c r="AH180" s="262"/>
      <c r="AI180" s="262"/>
      <c r="AJ180" s="262"/>
      <c r="AK180" s="262"/>
      <c r="AL180" s="262"/>
      <c r="AM180" s="262"/>
      <c r="AN180" s="262"/>
      <c r="AO180" s="262"/>
      <c r="AP180" s="262"/>
      <c r="AQ180" s="263"/>
    </row>
    <row r="181" spans="1:43" s="261" customFormat="1" ht="15.75" x14ac:dyDescent="0.25">
      <c r="A181" s="163">
        <v>96</v>
      </c>
      <c r="B181" s="248" t="s">
        <v>618</v>
      </c>
      <c r="C181" s="248"/>
      <c r="D181" s="248"/>
      <c r="E181" s="248"/>
      <c r="F181" s="248"/>
      <c r="G181" s="248"/>
      <c r="H181" s="248"/>
      <c r="I181" s="248"/>
      <c r="J181" s="248" t="s">
        <v>376</v>
      </c>
      <c r="K181" s="298">
        <f>SUMIFS($AI$4:$AI$48,$V$4:$V$48,"Перли",$H$4:$H$48,2,$F$4:$F$48,19)+SUMIFS($AI$4:$AI$48,$V$4:$V$48,"Графіт",$H$4:$H$48,2,$F$4:$F$48,19)</f>
        <v>0</v>
      </c>
      <c r="L181" s="300"/>
      <c r="M181" s="301">
        <f>Прайс!$G$80</f>
        <v>5280</v>
      </c>
      <c r="N181" s="245">
        <f t="shared" si="4"/>
        <v>0</v>
      </c>
      <c r="O181" s="300"/>
      <c r="P181" s="252"/>
      <c r="Q181" s="252"/>
      <c r="R181" s="248"/>
      <c r="S181" s="258"/>
      <c r="T181" s="259"/>
      <c r="U181" s="260"/>
      <c r="V181" s="260"/>
      <c r="AG181" s="262"/>
      <c r="AH181" s="262"/>
      <c r="AI181" s="262"/>
      <c r="AJ181" s="262"/>
      <c r="AK181" s="262"/>
      <c r="AL181" s="262"/>
      <c r="AM181" s="262"/>
      <c r="AN181" s="262"/>
      <c r="AO181" s="262"/>
      <c r="AP181" s="262"/>
      <c r="AQ181" s="263"/>
    </row>
    <row r="182" spans="1:43" s="261" customFormat="1" ht="15.75" x14ac:dyDescent="0.25">
      <c r="A182" s="163">
        <v>97</v>
      </c>
      <c r="B182" s="341" t="s">
        <v>709</v>
      </c>
      <c r="C182" s="248"/>
      <c r="D182" s="248"/>
      <c r="E182" s="248"/>
      <c r="F182" s="248"/>
      <c r="G182" s="248"/>
      <c r="H182" s="248"/>
      <c r="I182" s="248"/>
      <c r="J182" s="248" t="s">
        <v>376</v>
      </c>
      <c r="K182" s="298">
        <f>SUMIFS($AI$4:$AI$48,$V$4:$V$48,"Перли",$H$4:$H$48,1,$F$4:$F$48,22)+SUMIFS($AI$4:$AI$48,$V$4:$V$48,"Графіт",$H$4:$H$48,1,$F$4:$F$48,22)</f>
        <v>0</v>
      </c>
      <c r="L182" s="300"/>
      <c r="M182" s="301">
        <f>Прайс!$F$80+700</f>
        <v>5560</v>
      </c>
      <c r="N182" s="245">
        <f t="shared" si="4"/>
        <v>0</v>
      </c>
      <c r="O182" s="300"/>
      <c r="P182" s="252"/>
      <c r="Q182" s="252"/>
      <c r="R182" s="248"/>
      <c r="S182" s="258"/>
      <c r="T182" s="259"/>
      <c r="U182" s="260"/>
      <c r="V182" s="260"/>
      <c r="AG182" s="262"/>
      <c r="AH182" s="262"/>
      <c r="AI182" s="262"/>
      <c r="AJ182" s="262"/>
      <c r="AK182" s="262"/>
      <c r="AL182" s="262"/>
      <c r="AM182" s="262"/>
      <c r="AN182" s="262"/>
      <c r="AO182" s="262"/>
      <c r="AP182" s="262"/>
      <c r="AQ182" s="263"/>
    </row>
    <row r="183" spans="1:43" s="261" customFormat="1" ht="15.75" x14ac:dyDescent="0.25">
      <c r="A183" s="163">
        <v>98</v>
      </c>
      <c r="B183" s="341" t="s">
        <v>710</v>
      </c>
      <c r="C183" s="248"/>
      <c r="D183" s="248"/>
      <c r="E183" s="248"/>
      <c r="F183" s="248"/>
      <c r="G183" s="248"/>
      <c r="H183" s="248"/>
      <c r="I183" s="248"/>
      <c r="J183" s="248" t="s">
        <v>376</v>
      </c>
      <c r="K183" s="298">
        <f>SUMIFS($AI$4:$AI$48,$V$4:$V$48,"Перли",$H$4:$H$48,2,$F$4:$F$48,22)+SUMIFS($AI$4:$AI$48,$V$4:$V$48,"Графіт",$H$4:$H$48,2,$F$4:$F$48,22)</f>
        <v>0</v>
      </c>
      <c r="L183" s="300"/>
      <c r="M183" s="301">
        <f>Прайс!$G$80+700</f>
        <v>5980</v>
      </c>
      <c r="N183" s="245">
        <f t="shared" si="4"/>
        <v>0</v>
      </c>
      <c r="O183" s="300"/>
      <c r="P183" s="252"/>
      <c r="Q183" s="252"/>
      <c r="R183" s="248"/>
      <c r="S183" s="258"/>
      <c r="T183" s="259"/>
      <c r="U183" s="260"/>
      <c r="V183" s="260"/>
      <c r="AG183" s="262"/>
      <c r="AH183" s="262"/>
      <c r="AI183" s="262"/>
      <c r="AJ183" s="262"/>
      <c r="AK183" s="262"/>
      <c r="AL183" s="262"/>
      <c r="AM183" s="262"/>
      <c r="AN183" s="262"/>
      <c r="AO183" s="262"/>
      <c r="AP183" s="262"/>
      <c r="AQ183" s="263"/>
    </row>
    <row r="184" spans="1:43" s="261" customFormat="1" ht="15.75" x14ac:dyDescent="0.25">
      <c r="A184" s="163">
        <v>99</v>
      </c>
      <c r="B184" s="248" t="s">
        <v>619</v>
      </c>
      <c r="C184" s="248"/>
      <c r="D184" s="248"/>
      <c r="E184" s="248"/>
      <c r="F184" s="248"/>
      <c r="G184" s="248"/>
      <c r="H184" s="248"/>
      <c r="I184" s="248"/>
      <c r="J184" s="248" t="s">
        <v>376</v>
      </c>
      <c r="K184" s="298"/>
      <c r="L184" s="300"/>
      <c r="M184" s="301"/>
      <c r="N184" s="245">
        <f t="shared" si="4"/>
        <v>0</v>
      </c>
      <c r="O184" s="300"/>
      <c r="P184" s="252"/>
      <c r="Q184" s="252"/>
      <c r="R184" s="248"/>
      <c r="S184" s="258"/>
      <c r="T184" s="259"/>
      <c r="U184" s="260"/>
      <c r="V184" s="260"/>
      <c r="AG184" s="262"/>
      <c r="AH184" s="262"/>
      <c r="AI184" s="262"/>
      <c r="AJ184" s="262"/>
      <c r="AK184" s="262"/>
      <c r="AL184" s="262"/>
      <c r="AM184" s="262"/>
      <c r="AN184" s="262"/>
      <c r="AO184" s="262"/>
      <c r="AP184" s="262"/>
      <c r="AQ184" s="263"/>
    </row>
    <row r="185" spans="1:43" s="261" customFormat="1" ht="15.75" x14ac:dyDescent="0.25">
      <c r="A185" s="163">
        <v>100</v>
      </c>
      <c r="B185" s="248" t="s">
        <v>620</v>
      </c>
      <c r="C185" s="248"/>
      <c r="D185" s="248"/>
      <c r="E185" s="248"/>
      <c r="F185" s="248"/>
      <c r="G185" s="248"/>
      <c r="H185" s="248"/>
      <c r="I185" s="248"/>
      <c r="J185" s="248" t="s">
        <v>376</v>
      </c>
      <c r="K185" s="298"/>
      <c r="L185" s="300"/>
      <c r="M185" s="301"/>
      <c r="N185" s="245">
        <f t="shared" si="4"/>
        <v>0</v>
      </c>
      <c r="O185" s="300"/>
      <c r="P185" s="252"/>
      <c r="Q185" s="252"/>
      <c r="R185" s="248"/>
      <c r="S185" s="258"/>
      <c r="T185" s="259"/>
      <c r="U185" s="260"/>
      <c r="V185" s="260"/>
      <c r="AG185" s="262"/>
      <c r="AH185" s="262"/>
      <c r="AI185" s="262"/>
      <c r="AJ185" s="262"/>
      <c r="AK185" s="262"/>
      <c r="AL185" s="262"/>
      <c r="AM185" s="262"/>
      <c r="AN185" s="262"/>
      <c r="AO185" s="262"/>
      <c r="AP185" s="262"/>
      <c r="AQ185" s="263"/>
    </row>
    <row r="186" spans="1:43" ht="15.75" x14ac:dyDescent="0.25">
      <c r="A186" s="163">
        <v>101</v>
      </c>
      <c r="B186" s="233" t="s">
        <v>621</v>
      </c>
      <c r="C186" s="233"/>
      <c r="D186" s="233"/>
      <c r="E186" s="233"/>
      <c r="F186" s="233"/>
      <c r="G186" s="233"/>
      <c r="H186" s="233"/>
      <c r="I186" s="233"/>
      <c r="J186" s="233" t="s">
        <v>376</v>
      </c>
      <c r="K186" s="298">
        <f>SUMIFS($AI$4:$AI$48,$V$4:$V$48,"Зор.н.ср.",$H$4:$H$48,1,$F$4:$F$48,16)+SUMIFS($AI$4:$AI$48,$V$4:$V$48,"Зор.н.зол.",$H$4:$H$48,1,$F$4:$F$48,16)+SUMIFS($AI$4:$AI$48,$V$4:$V$48,"Зор.н.різн.",$H$4:$H$48,1,$F$4:$F$48,16)</f>
        <v>0</v>
      </c>
      <c r="L186" s="244"/>
      <c r="M186" s="226">
        <f>Прайс!$D$81</f>
        <v>4930</v>
      </c>
      <c r="N186" s="245">
        <f t="shared" si="4"/>
        <v>0</v>
      </c>
      <c r="O186" s="244"/>
      <c r="P186" s="234"/>
      <c r="Q186" s="234"/>
      <c r="R186" s="233"/>
      <c r="S186" s="204"/>
      <c r="T186" s="205"/>
      <c r="U186" s="235"/>
      <c r="V186" s="235"/>
      <c r="AG186" s="236"/>
      <c r="AH186" s="236"/>
      <c r="AI186" s="236"/>
      <c r="AJ186" s="236"/>
      <c r="AK186" s="236"/>
      <c r="AL186" s="236"/>
      <c r="AM186" s="236"/>
      <c r="AN186" s="236"/>
      <c r="AO186" s="236"/>
      <c r="AP186" s="236"/>
      <c r="AQ186" s="237"/>
    </row>
    <row r="187" spans="1:43" ht="15.75" x14ac:dyDescent="0.25">
      <c r="A187" s="163">
        <v>102</v>
      </c>
      <c r="B187" s="233" t="s">
        <v>622</v>
      </c>
      <c r="C187" s="233"/>
      <c r="D187" s="233"/>
      <c r="E187" s="233"/>
      <c r="F187" s="233"/>
      <c r="G187" s="233"/>
      <c r="H187" s="233"/>
      <c r="I187" s="233"/>
      <c r="J187" s="233" t="s">
        <v>376</v>
      </c>
      <c r="K187" s="298">
        <f>SUMIFS($AI$4:$AI$48,$V$4:$V$48,"Зор.н.ср.",$H$4:$H$48,2,$F$4:$F$48,16)+SUMIFS($AI$4:$AI$48,$V$4:$V$48,"Зор.н.зол.",$H$4:$H$48,2,$F$4:$F$48,16)+SUMIFS($AI$4:$AI$48,$V$4:$V$48,"Зор.н.різн.",$H$4:$H$48,2,$F$4:$F$48,16)</f>
        <v>0</v>
      </c>
      <c r="L187" s="244"/>
      <c r="M187" s="226">
        <f>Прайс!$E$81</f>
        <v>5350</v>
      </c>
      <c r="N187" s="245">
        <f t="shared" si="4"/>
        <v>0</v>
      </c>
      <c r="O187" s="244"/>
      <c r="P187" s="234"/>
      <c r="Q187" s="234"/>
      <c r="R187" s="233"/>
      <c r="S187" s="204"/>
      <c r="T187" s="205"/>
      <c r="U187" s="235"/>
      <c r="V187" s="235"/>
      <c r="AG187" s="236"/>
      <c r="AH187" s="236"/>
      <c r="AI187" s="236"/>
      <c r="AJ187" s="236"/>
      <c r="AK187" s="236"/>
      <c r="AL187" s="236"/>
      <c r="AM187" s="236"/>
      <c r="AN187" s="236"/>
      <c r="AO187" s="236"/>
      <c r="AP187" s="236"/>
      <c r="AQ187" s="237"/>
    </row>
    <row r="188" spans="1:43" ht="15.75" x14ac:dyDescent="0.25">
      <c r="A188" s="163">
        <v>103</v>
      </c>
      <c r="B188" s="233" t="s">
        <v>623</v>
      </c>
      <c r="C188" s="233"/>
      <c r="D188" s="233"/>
      <c r="E188" s="233"/>
      <c r="F188" s="233"/>
      <c r="G188" s="233"/>
      <c r="H188" s="233"/>
      <c r="I188" s="233"/>
      <c r="J188" s="233" t="s">
        <v>376</v>
      </c>
      <c r="K188" s="298">
        <f>SUMIFS($AI$4:$AI$48,$V$4:$V$48,"Зор.н.ср.",$H$4:$H$48,1,$F$4:$F$48,19)+SUMIFS($AI$4:$AI$48,$V$4:$V$48,"Зор.н.зол.",$H$4:$H$48,1,$F$4:$F$48,19)+SUMIFS($AI$4:$AI$48,$V$4:$V$48,"Зор.н.різн.",$H$4:$H$48,1,$F$4:$F$48,19)</f>
        <v>0</v>
      </c>
      <c r="L188" s="244"/>
      <c r="M188" s="226">
        <f>Прайс!$F$81</f>
        <v>5000</v>
      </c>
      <c r="N188" s="245">
        <f t="shared" si="4"/>
        <v>0</v>
      </c>
      <c r="O188" s="244"/>
      <c r="P188" s="234"/>
      <c r="Q188" s="234"/>
      <c r="R188" s="233"/>
      <c r="S188" s="204"/>
      <c r="T188" s="205"/>
      <c r="U188" s="235"/>
      <c r="V188" s="235"/>
      <c r="AG188" s="236"/>
      <c r="AH188" s="236"/>
      <c r="AI188" s="236"/>
      <c r="AJ188" s="236"/>
      <c r="AK188" s="236"/>
      <c r="AL188" s="236"/>
      <c r="AM188" s="236"/>
      <c r="AN188" s="236"/>
      <c r="AO188" s="236"/>
      <c r="AP188" s="236"/>
      <c r="AQ188" s="237"/>
    </row>
    <row r="189" spans="1:43" ht="15.75" x14ac:dyDescent="0.25">
      <c r="A189" s="163">
        <v>104</v>
      </c>
      <c r="B189" s="233" t="s">
        <v>624</v>
      </c>
      <c r="C189" s="233"/>
      <c r="D189" s="233"/>
      <c r="E189" s="233"/>
      <c r="F189" s="233"/>
      <c r="G189" s="233"/>
      <c r="H189" s="233"/>
      <c r="I189" s="233"/>
      <c r="J189" s="233" t="s">
        <v>376</v>
      </c>
      <c r="K189" s="298">
        <f>SUMIFS($AI$4:$AI$48,$V$4:$V$48,"Зор.н.ср.",$H$4:$H$48,2,$F$4:$F$48,19)+SUMIFS($AI$4:$AI$48,$V$4:$V$48,"Зор.н.зол.",$H$4:$H$48,2,$F$4:$F$48,19)+SUMIFS($AI$4:$AI$48,$V$4:$V$48,"Зор.н.різн.",$H$4:$H$48,2,$F$4:$F$48,19)</f>
        <v>0</v>
      </c>
      <c r="L189" s="244"/>
      <c r="M189" s="226">
        <f>Прайс!$G$81</f>
        <v>5420</v>
      </c>
      <c r="N189" s="245">
        <f t="shared" si="4"/>
        <v>0</v>
      </c>
      <c r="O189" s="244"/>
      <c r="P189" s="234"/>
      <c r="Q189" s="234"/>
      <c r="R189" s="233"/>
      <c r="S189" s="204"/>
      <c r="T189" s="205"/>
      <c r="U189" s="235"/>
      <c r="V189" s="235"/>
      <c r="AG189" s="236"/>
      <c r="AH189" s="236"/>
      <c r="AI189" s="236"/>
      <c r="AJ189" s="236"/>
      <c r="AK189" s="236"/>
      <c r="AL189" s="236"/>
      <c r="AM189" s="236"/>
      <c r="AN189" s="236"/>
      <c r="AO189" s="236"/>
      <c r="AP189" s="236"/>
      <c r="AQ189" s="237"/>
    </row>
    <row r="190" spans="1:43" ht="15.75" x14ac:dyDescent="0.25">
      <c r="A190" s="163">
        <v>105</v>
      </c>
      <c r="B190" s="341" t="s">
        <v>711</v>
      </c>
      <c r="C190" s="233"/>
      <c r="D190" s="233"/>
      <c r="E190" s="233"/>
      <c r="F190" s="233"/>
      <c r="G190" s="233"/>
      <c r="H190" s="233"/>
      <c r="I190" s="233"/>
      <c r="J190" s="233" t="s">
        <v>376</v>
      </c>
      <c r="K190" s="298">
        <f>SUMIFS($AI$4:$AI$48,$V$4:$V$48,"Зор.н.ср.",$H$4:$H$48,1,$F$4:$F$48,22)+SUMIFS($AI$4:$AI$48,$V$4:$V$48,"Зор.н.зол.",$H$4:$H$48,1,$F$4:$F$48,22)+SUMIFS($AI$4:$AI$48,$V$4:$V$48,"Зор.н.різн.",$H$4:$H$48,1,$F$4:$F$48,22)</f>
        <v>0</v>
      </c>
      <c r="L190" s="244"/>
      <c r="M190" s="226">
        <f>Прайс!$F$81+700</f>
        <v>5700</v>
      </c>
      <c r="N190" s="245">
        <f t="shared" si="4"/>
        <v>0</v>
      </c>
      <c r="O190" s="244"/>
      <c r="P190" s="234"/>
      <c r="Q190" s="234"/>
      <c r="R190" s="233"/>
      <c r="S190" s="204"/>
      <c r="T190" s="205"/>
      <c r="U190" s="235"/>
      <c r="V190" s="235"/>
      <c r="AG190" s="236"/>
      <c r="AH190" s="236"/>
      <c r="AI190" s="236"/>
      <c r="AJ190" s="236"/>
      <c r="AK190" s="236"/>
      <c r="AL190" s="236"/>
      <c r="AM190" s="236"/>
      <c r="AN190" s="236"/>
      <c r="AO190" s="236"/>
      <c r="AP190" s="236"/>
      <c r="AQ190" s="237"/>
    </row>
    <row r="191" spans="1:43" ht="15.75" x14ac:dyDescent="0.25">
      <c r="A191" s="163">
        <v>106</v>
      </c>
      <c r="B191" s="341" t="s">
        <v>712</v>
      </c>
      <c r="C191" s="233"/>
      <c r="D191" s="233"/>
      <c r="E191" s="233"/>
      <c r="F191" s="233"/>
      <c r="G191" s="233"/>
      <c r="H191" s="233"/>
      <c r="I191" s="233"/>
      <c r="J191" s="233" t="s">
        <v>376</v>
      </c>
      <c r="K191" s="298">
        <f>SUMIFS($AI$4:$AI$48,$V$4:$V$48,"Зор.н.ср.",$H$4:$H$48,2,$F$4:$F$48,22)+SUMIFS($AI$4:$AI$48,$V$4:$V$48,"Зор.н.зол.",$H$4:$H$48,2,$F$4:$F$48,22)+SUMIFS($AI$4:$AI$48,$V$4:$V$48,"Зор.н.різн.",$H$4:$H$48,2,$F$4:$F$48,22)</f>
        <v>0</v>
      </c>
      <c r="L191" s="244"/>
      <c r="M191" s="226">
        <f>Прайс!$G$81+700</f>
        <v>6120</v>
      </c>
      <c r="N191" s="245">
        <f t="shared" si="4"/>
        <v>0</v>
      </c>
      <c r="O191" s="244"/>
      <c r="P191" s="234"/>
      <c r="Q191" s="234"/>
      <c r="R191" s="233"/>
      <c r="S191" s="204"/>
      <c r="T191" s="205"/>
      <c r="U191" s="235"/>
      <c r="V191" s="235"/>
      <c r="AG191" s="236"/>
      <c r="AH191" s="236"/>
      <c r="AI191" s="236"/>
      <c r="AJ191" s="236"/>
      <c r="AK191" s="236"/>
      <c r="AL191" s="236"/>
      <c r="AM191" s="236"/>
      <c r="AN191" s="236"/>
      <c r="AO191" s="236"/>
      <c r="AP191" s="236"/>
      <c r="AQ191" s="237"/>
    </row>
    <row r="192" spans="1:43" ht="15.75" x14ac:dyDescent="0.25">
      <c r="A192" s="163">
        <v>107</v>
      </c>
      <c r="B192" s="233" t="s">
        <v>625</v>
      </c>
      <c r="C192" s="233"/>
      <c r="D192" s="233"/>
      <c r="E192" s="233"/>
      <c r="F192" s="233"/>
      <c r="G192" s="233"/>
      <c r="H192" s="233"/>
      <c r="I192" s="233"/>
      <c r="J192" s="233" t="s">
        <v>376</v>
      </c>
      <c r="K192" s="298"/>
      <c r="L192" s="244"/>
      <c r="M192" s="226"/>
      <c r="N192" s="245">
        <f t="shared" si="4"/>
        <v>0</v>
      </c>
      <c r="O192" s="244"/>
      <c r="P192" s="234"/>
      <c r="Q192" s="234"/>
      <c r="R192" s="233"/>
      <c r="S192" s="204"/>
      <c r="T192" s="205"/>
      <c r="U192" s="235"/>
      <c r="V192" s="235"/>
      <c r="AG192" s="236"/>
      <c r="AH192" s="236"/>
      <c r="AI192" s="236"/>
      <c r="AJ192" s="236"/>
      <c r="AK192" s="236"/>
      <c r="AL192" s="236"/>
      <c r="AM192" s="236"/>
      <c r="AN192" s="236"/>
      <c r="AO192" s="236"/>
      <c r="AP192" s="236"/>
      <c r="AQ192" s="237"/>
    </row>
    <row r="193" spans="1:43" ht="16.5" thickBot="1" x14ac:dyDescent="0.3">
      <c r="A193" s="163">
        <v>108</v>
      </c>
      <c r="B193" s="233" t="s">
        <v>626</v>
      </c>
      <c r="C193" s="233"/>
      <c r="D193" s="233"/>
      <c r="E193" s="233"/>
      <c r="F193" s="233"/>
      <c r="G193" s="233"/>
      <c r="H193" s="233"/>
      <c r="I193" s="233"/>
      <c r="J193" s="233" t="s">
        <v>376</v>
      </c>
      <c r="K193" s="298"/>
      <c r="L193" s="244"/>
      <c r="M193" s="226"/>
      <c r="N193" s="245">
        <f t="shared" si="4"/>
        <v>0</v>
      </c>
      <c r="O193" s="244"/>
      <c r="P193" s="234"/>
      <c r="Q193" s="234"/>
      <c r="R193" s="233"/>
      <c r="S193" s="204"/>
      <c r="T193" s="205"/>
      <c r="U193" s="235"/>
      <c r="V193" s="235"/>
      <c r="AG193" s="236"/>
      <c r="AH193" s="236"/>
      <c r="AI193" s="236"/>
      <c r="AJ193" s="236"/>
      <c r="AK193" s="236"/>
      <c r="AL193" s="236"/>
      <c r="AM193" s="236"/>
      <c r="AN193" s="236"/>
      <c r="AO193" s="236"/>
      <c r="AP193" s="236"/>
      <c r="AQ193" s="237"/>
    </row>
    <row r="194" spans="1:43" ht="15.75" x14ac:dyDescent="0.25">
      <c r="A194" s="163">
        <v>109</v>
      </c>
      <c r="B194" s="233" t="s">
        <v>408</v>
      </c>
      <c r="C194" s="249"/>
      <c r="D194" s="249"/>
      <c r="E194" s="249"/>
      <c r="F194" s="249"/>
      <c r="G194" s="249"/>
      <c r="H194" s="249"/>
      <c r="I194" s="249"/>
      <c r="J194" s="233" t="s">
        <v>376</v>
      </c>
      <c r="K194" s="243">
        <f>SUMIFS($AI$4:$AI$48,$V$4:$V$48,"",$X$4:$X$48,"Матове покриття з патиною",$F$4:$F$48,16,$H$4:$H$48,1)</f>
        <v>0</v>
      </c>
      <c r="L194" s="244"/>
      <c r="M194" s="226">
        <f>Прайс!$D$82</f>
        <v>4230</v>
      </c>
      <c r="N194" s="245">
        <f t="shared" si="4"/>
        <v>0</v>
      </c>
      <c r="O194" s="244">
        <f>SUMIFS($T$46:$T$50,$P$46:$P$50,"Матове",$Q$46:$Q$50,"Відкрита пора",$F$46:$F$50,16,$R$46:$R$50,"Матове",$S$46:$S$50,"Відкрита пора",$O$46:$O$50,1)</f>
        <v>0</v>
      </c>
      <c r="P194" s="234"/>
      <c r="Q194" s="234"/>
      <c r="R194" s="233"/>
      <c r="S194" s="204"/>
      <c r="T194" s="205"/>
      <c r="U194" s="235"/>
      <c r="V194" s="235"/>
      <c r="AG194" s="236"/>
      <c r="AH194" s="236"/>
      <c r="AI194" s="236"/>
      <c r="AJ194" s="236"/>
      <c r="AK194" s="236"/>
      <c r="AL194" s="236"/>
      <c r="AM194" s="236"/>
      <c r="AN194" s="236"/>
      <c r="AO194" s="236"/>
      <c r="AP194" s="236"/>
      <c r="AQ194" s="237"/>
    </row>
    <row r="195" spans="1:43" ht="15.75" x14ac:dyDescent="0.25">
      <c r="A195" s="163">
        <v>110</v>
      </c>
      <c r="B195" s="233" t="s">
        <v>409</v>
      </c>
      <c r="C195" s="233"/>
      <c r="D195" s="233"/>
      <c r="E195" s="233"/>
      <c r="F195" s="233"/>
      <c r="G195" s="233"/>
      <c r="H195" s="233"/>
      <c r="I195" s="233"/>
      <c r="J195" s="233" t="s">
        <v>376</v>
      </c>
      <c r="K195" s="243">
        <f>SUMIFS($AI$4:$AI$48,$V$4:$V$48,"",$X$4:$X$48,"Матове покриття з патиною",$F$4:$F$48,16,$H$4:$H$48,2)</f>
        <v>0</v>
      </c>
      <c r="L195" s="244"/>
      <c r="M195" s="226">
        <f>Прайс!$E$82</f>
        <v>4650</v>
      </c>
      <c r="N195" s="245">
        <f t="shared" si="4"/>
        <v>0</v>
      </c>
      <c r="O195" s="244">
        <f>SUMIFS($T$46:$T$50,$P$46:$P$50,"Матове",$Q$46:$Q$50,"Відкрита пора",$F$46:$F$50,16,$R$46:$R$50,"Матове",$S$46:$S$50,"Відкрита пора",$O$46:$O$50,2)</f>
        <v>0</v>
      </c>
      <c r="P195" s="234"/>
      <c r="Q195" s="234"/>
      <c r="R195" s="233"/>
      <c r="S195" s="204"/>
      <c r="T195" s="205"/>
      <c r="U195" s="235"/>
      <c r="V195" s="235"/>
      <c r="AG195" s="236"/>
      <c r="AH195" s="236"/>
      <c r="AI195" s="236"/>
      <c r="AJ195" s="236"/>
      <c r="AK195" s="236"/>
      <c r="AL195" s="236"/>
      <c r="AM195" s="236"/>
      <c r="AN195" s="236"/>
      <c r="AO195" s="236"/>
      <c r="AP195" s="236"/>
      <c r="AQ195" s="237"/>
    </row>
    <row r="196" spans="1:43" ht="15.75" x14ac:dyDescent="0.25">
      <c r="A196" s="163">
        <v>111</v>
      </c>
      <c r="B196" s="233" t="s">
        <v>410</v>
      </c>
      <c r="C196" s="233"/>
      <c r="D196" s="233"/>
      <c r="E196" s="233"/>
      <c r="F196" s="233"/>
      <c r="G196" s="233"/>
      <c r="H196" s="233"/>
      <c r="I196" s="233"/>
      <c r="J196" s="233" t="s">
        <v>376</v>
      </c>
      <c r="K196" s="243">
        <f>SUMIFS($AI$4:$AI$48,$V$4:$V$48,"",$X$4:$X$48,"Матове покриття з патиною",$F$4:$F$48,19,$H$4:$H$48,1)</f>
        <v>0</v>
      </c>
      <c r="L196" s="244"/>
      <c r="M196" s="226">
        <f>Прайс!$F$82</f>
        <v>4300</v>
      </c>
      <c r="N196" s="245">
        <f t="shared" si="4"/>
        <v>0</v>
      </c>
      <c r="O196" s="244">
        <f>SUMIFS($U$46:$U$50,$P$46:$P$50,"Матове",$Q$46:$Q$50,"Відкрита пора",$F$46:$F$50,19,$R$46:$R$50,"Матове",$S$46:$S$50,"Відкрита пора",$O$46:$O$50,1)</f>
        <v>0</v>
      </c>
      <c r="P196" s="234"/>
      <c r="Q196" s="234"/>
      <c r="R196" s="233"/>
      <c r="S196" s="204"/>
      <c r="T196" s="205"/>
      <c r="U196" s="235"/>
      <c r="V196" s="235"/>
      <c r="AG196" s="236"/>
      <c r="AH196" s="236"/>
      <c r="AI196" s="236"/>
      <c r="AJ196" s="236"/>
      <c r="AK196" s="236"/>
      <c r="AL196" s="236"/>
      <c r="AM196" s="236"/>
      <c r="AN196" s="236"/>
      <c r="AO196" s="236"/>
      <c r="AP196" s="236"/>
      <c r="AQ196" s="237"/>
    </row>
    <row r="197" spans="1:43" ht="15.75" x14ac:dyDescent="0.25">
      <c r="A197" s="163">
        <v>112</v>
      </c>
      <c r="B197" s="233" t="s">
        <v>411</v>
      </c>
      <c r="C197" s="233"/>
      <c r="D197" s="233"/>
      <c r="E197" s="233"/>
      <c r="F197" s="233"/>
      <c r="G197" s="233"/>
      <c r="H197" s="233"/>
      <c r="I197" s="233"/>
      <c r="J197" s="233" t="s">
        <v>376</v>
      </c>
      <c r="K197" s="243">
        <f>SUMIFS($AI$4:$AI$48,$V$4:$V$48,"",$X$4:$X$48,"Матове покриття з патиною",$F$4:$F$48,19,$H$4:$H$48,2)</f>
        <v>0</v>
      </c>
      <c r="L197" s="244"/>
      <c r="M197" s="226">
        <f>Прайс!$G$82</f>
        <v>4720</v>
      </c>
      <c r="N197" s="245">
        <f t="shared" si="4"/>
        <v>0</v>
      </c>
      <c r="O197" s="244">
        <f>SUMIFS($U$46:$U$50,$P$46:$P$50,"Матове",$Q$46:$Q$50,"Відкрита пора",$F$46:$F$50,19,$R$46:$R$50,"Матове",$S$46:$S$50,"Відкрита пора",$O$46:$O$50,2)</f>
        <v>0</v>
      </c>
      <c r="P197" s="234"/>
      <c r="Q197" s="234"/>
      <c r="R197" s="233"/>
      <c r="S197" s="204"/>
      <c r="T197" s="205"/>
      <c r="U197" s="235"/>
      <c r="V197" s="235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7"/>
    </row>
    <row r="198" spans="1:43" ht="15.75" x14ac:dyDescent="0.25">
      <c r="A198" s="163">
        <v>113</v>
      </c>
      <c r="B198" s="341" t="s">
        <v>713</v>
      </c>
      <c r="C198" s="233"/>
      <c r="D198" s="233"/>
      <c r="E198" s="233"/>
      <c r="F198" s="233"/>
      <c r="G198" s="233"/>
      <c r="H198" s="233"/>
      <c r="I198" s="233"/>
      <c r="J198" s="233" t="s">
        <v>376</v>
      </c>
      <c r="K198" s="243">
        <f>SUMIFS($AI$4:$AI$48,$V$4:$V$48,"",$X$4:$X$48,"Матове покриття з патиною",$F$4:$F$48,22,$H$4:$H$48,1)</f>
        <v>0</v>
      </c>
      <c r="L198" s="244"/>
      <c r="M198" s="226">
        <f>Прайс!$F$82+700</f>
        <v>5000</v>
      </c>
      <c r="N198" s="245">
        <f t="shared" si="4"/>
        <v>0</v>
      </c>
      <c r="O198" s="244"/>
      <c r="P198" s="234"/>
      <c r="Q198" s="234"/>
      <c r="R198" s="233"/>
      <c r="S198" s="204"/>
      <c r="T198" s="205"/>
      <c r="U198" s="235"/>
      <c r="V198" s="235"/>
      <c r="AG198" s="236"/>
      <c r="AH198" s="236"/>
      <c r="AI198" s="236"/>
      <c r="AJ198" s="236"/>
      <c r="AK198" s="236"/>
      <c r="AL198" s="236"/>
      <c r="AM198" s="236"/>
      <c r="AN198" s="236"/>
      <c r="AO198" s="236"/>
      <c r="AP198" s="236"/>
      <c r="AQ198" s="237"/>
    </row>
    <row r="199" spans="1:43" ht="15.75" x14ac:dyDescent="0.25">
      <c r="A199" s="163">
        <v>114</v>
      </c>
      <c r="B199" s="341" t="s">
        <v>714</v>
      </c>
      <c r="C199" s="233"/>
      <c r="D199" s="233"/>
      <c r="E199" s="233"/>
      <c r="F199" s="233"/>
      <c r="G199" s="233"/>
      <c r="H199" s="233"/>
      <c r="I199" s="233"/>
      <c r="J199" s="233" t="s">
        <v>376</v>
      </c>
      <c r="K199" s="243">
        <f>SUMIFS($AI$4:$AI$48,$V$4:$V$48,"",$X$4:$X$48,"Матове покриття з патиною",$F$4:$F$48,22,$H$4:$H$48,2)</f>
        <v>0</v>
      </c>
      <c r="L199" s="244"/>
      <c r="M199" s="226">
        <f>Прайс!$G$82+700</f>
        <v>5420</v>
      </c>
      <c r="N199" s="245">
        <f t="shared" si="4"/>
        <v>0</v>
      </c>
      <c r="O199" s="244"/>
      <c r="P199" s="234"/>
      <c r="Q199" s="234"/>
      <c r="R199" s="233"/>
      <c r="S199" s="204"/>
      <c r="T199" s="205"/>
      <c r="U199" s="235"/>
      <c r="V199" s="235"/>
      <c r="AG199" s="236"/>
      <c r="AH199" s="236"/>
      <c r="AI199" s="236"/>
      <c r="AJ199" s="236"/>
      <c r="AK199" s="236"/>
      <c r="AL199" s="236"/>
      <c r="AM199" s="236"/>
      <c r="AN199" s="236"/>
      <c r="AO199" s="236"/>
      <c r="AP199" s="236"/>
      <c r="AQ199" s="237"/>
    </row>
    <row r="200" spans="1:43" ht="15.75" x14ac:dyDescent="0.25">
      <c r="A200" s="163">
        <v>115</v>
      </c>
      <c r="B200" s="233" t="s">
        <v>412</v>
      </c>
      <c r="C200" s="233"/>
      <c r="D200" s="233"/>
      <c r="E200" s="233"/>
      <c r="F200" s="233"/>
      <c r="G200" s="233"/>
      <c r="H200" s="233"/>
      <c r="I200" s="233"/>
      <c r="J200" s="233" t="s">
        <v>376</v>
      </c>
      <c r="K200" s="246">
        <f>SUMIFS($AI$4:$AI$48,$Y$4:$Y$48,"Матове покриття з патиною",$AB$4:$AB$48,"&gt;0",$H$4:$H$48,1)</f>
        <v>0</v>
      </c>
      <c r="L200" s="244"/>
      <c r="M200" s="226">
        <f>Прайс!$D$82/2</f>
        <v>2115</v>
      </c>
      <c r="N200" s="245">
        <f t="shared" si="4"/>
        <v>0</v>
      </c>
      <c r="O200" s="244">
        <f>SUMIFS($T$46:$T$50,$P$46:$P$50,"Матове",$Q$46:$Q$50,"Закрита пора",$F$46:$F$50,16,$R$46:$R$50,"Матове",$S$46:$S$50,"Відкрита пора",$O$46:$O$50,1)</f>
        <v>0</v>
      </c>
      <c r="P200" s="234"/>
      <c r="Q200" s="234"/>
      <c r="R200" s="233"/>
      <c r="S200" s="204"/>
      <c r="T200" s="205"/>
      <c r="U200" s="235"/>
      <c r="V200" s="235"/>
      <c r="AG200" s="236"/>
      <c r="AH200" s="236"/>
      <c r="AI200" s="236"/>
      <c r="AJ200" s="236"/>
      <c r="AK200" s="236"/>
      <c r="AL200" s="236"/>
      <c r="AM200" s="236"/>
      <c r="AN200" s="236"/>
      <c r="AO200" s="236"/>
      <c r="AP200" s="236"/>
      <c r="AQ200" s="237"/>
    </row>
    <row r="201" spans="1:43" ht="15.75" x14ac:dyDescent="0.25">
      <c r="A201" s="163">
        <v>116</v>
      </c>
      <c r="B201" s="233" t="s">
        <v>413</v>
      </c>
      <c r="C201" s="233"/>
      <c r="D201" s="233"/>
      <c r="E201" s="233"/>
      <c r="F201" s="233"/>
      <c r="G201" s="233"/>
      <c r="H201" s="233"/>
      <c r="I201" s="233"/>
      <c r="J201" s="233" t="s">
        <v>376</v>
      </c>
      <c r="K201" s="246">
        <f>SUMIFS($AI$4:$AI$48,$Y$4:$Y$48,"Матове покриття з патиною",$AB$4:$AB$48,"&gt;0",$H$4:$H$48,2)</f>
        <v>0</v>
      </c>
      <c r="L201" s="244"/>
      <c r="M201" s="226">
        <f>Прайс!$E$82/2</f>
        <v>2325</v>
      </c>
      <c r="N201" s="245">
        <f t="shared" si="4"/>
        <v>0</v>
      </c>
      <c r="O201" s="244">
        <f>SUMIFS($T$46:$T$50,$P$46:$P$50,"Матове",$Q$46:$Q$50,"Закрита пора",$F$46:$F$50,16,$R$46:$R$50,"Матове",$S$46:$S$50,"Відкрита пора",$O$46:$O$50,2)</f>
        <v>0</v>
      </c>
      <c r="P201" s="234"/>
      <c r="Q201" s="234"/>
      <c r="R201" s="233"/>
      <c r="S201" s="204"/>
      <c r="T201" s="205"/>
      <c r="U201" s="235"/>
      <c r="V201" s="235"/>
      <c r="AG201" s="236"/>
      <c r="AH201" s="236"/>
      <c r="AI201" s="236"/>
      <c r="AJ201" s="236"/>
      <c r="AK201" s="236"/>
      <c r="AL201" s="236"/>
      <c r="AM201" s="236"/>
      <c r="AN201" s="236"/>
      <c r="AO201" s="236"/>
      <c r="AP201" s="236"/>
      <c r="AQ201" s="237"/>
    </row>
    <row r="202" spans="1:43" ht="15.75" x14ac:dyDescent="0.25">
      <c r="A202" s="163">
        <v>117</v>
      </c>
      <c r="B202" s="248" t="s">
        <v>414</v>
      </c>
      <c r="C202" s="248"/>
      <c r="D202" s="248"/>
      <c r="E202" s="248"/>
      <c r="F202" s="248"/>
      <c r="G202" s="248"/>
      <c r="H202" s="248"/>
      <c r="I202" s="248"/>
      <c r="J202" s="248" t="s">
        <v>376</v>
      </c>
      <c r="K202" s="243">
        <f>SUMIFS($AI$4:$AI$48,$V$4:$V$48,"",$X$4:$X$48,"Глянцеве покриття з патиною",$F$4:$F$48,16,$H$4:$H$48,1)</f>
        <v>0</v>
      </c>
      <c r="L202" s="244"/>
      <c r="M202" s="226">
        <f>Прайс!$D$83</f>
        <v>4720</v>
      </c>
      <c r="N202" s="245">
        <f t="shared" si="4"/>
        <v>0</v>
      </c>
      <c r="O202" s="244">
        <f>SUMIFS($U$46:$U$50,$P$46:$P$50,"Матове",$Q$46:$Q$50,"Закрита пора",$F$46:$F$50,19,$R$46:$R$50,"Матове",$S$46:$S$50,"Відкрита пора",$O$46:$O$50,1)</f>
        <v>0</v>
      </c>
      <c r="P202" s="234"/>
      <c r="Q202" s="234"/>
      <c r="R202" s="233"/>
      <c r="S202" s="204"/>
      <c r="T202" s="205"/>
      <c r="U202" s="235"/>
      <c r="V202" s="235"/>
      <c r="AG202" s="236"/>
      <c r="AH202" s="236"/>
      <c r="AI202" s="236"/>
      <c r="AJ202" s="236"/>
      <c r="AK202" s="236"/>
      <c r="AL202" s="236"/>
      <c r="AM202" s="236"/>
      <c r="AN202" s="236"/>
      <c r="AO202" s="236"/>
      <c r="AP202" s="236"/>
      <c r="AQ202" s="237"/>
    </row>
    <row r="203" spans="1:43" ht="15.75" x14ac:dyDescent="0.25">
      <c r="A203" s="163">
        <v>118</v>
      </c>
      <c r="B203" s="248" t="s">
        <v>415</v>
      </c>
      <c r="C203" s="248"/>
      <c r="D203" s="248"/>
      <c r="E203" s="248"/>
      <c r="F203" s="248"/>
      <c r="G203" s="248"/>
      <c r="H203" s="248"/>
      <c r="I203" s="248"/>
      <c r="J203" s="248" t="s">
        <v>376</v>
      </c>
      <c r="K203" s="243">
        <f>SUMIFS($AI$4:$AI$48,$V$4:$V$48,"",$X$4:$X$48,"Глянцеве покриття з патиною",$F$4:$F$48,16,$H$4:$H$48,2)</f>
        <v>0</v>
      </c>
      <c r="L203" s="244"/>
      <c r="M203" s="226">
        <f>Прайс!$E$83</f>
        <v>5140</v>
      </c>
      <c r="N203" s="245">
        <f t="shared" si="4"/>
        <v>0</v>
      </c>
      <c r="O203" s="244">
        <f>SUMIFS($U$46:$U$50,$P$46:$P$50,"Матове",$Q$46:$Q$50,"Закрита пора",$F$46:$F$50,19,$R$46:$R$50,"Матове",$S$46:$S$50,"Відкрита пора",$O$46:$O$50,2)</f>
        <v>0</v>
      </c>
      <c r="P203" s="234"/>
      <c r="Q203" s="234"/>
      <c r="R203" s="233"/>
      <c r="S203" s="204"/>
      <c r="T203" s="205"/>
      <c r="U203" s="235"/>
      <c r="V203" s="235"/>
      <c r="AG203" s="236"/>
      <c r="AH203" s="236"/>
      <c r="AI203" s="236"/>
      <c r="AJ203" s="236"/>
      <c r="AK203" s="236"/>
      <c r="AL203" s="236"/>
      <c r="AM203" s="236"/>
      <c r="AN203" s="236"/>
      <c r="AO203" s="236"/>
      <c r="AP203" s="236"/>
      <c r="AQ203" s="237"/>
    </row>
    <row r="204" spans="1:43" ht="15.75" x14ac:dyDescent="0.25">
      <c r="A204" s="163">
        <v>119</v>
      </c>
      <c r="B204" s="248" t="s">
        <v>416</v>
      </c>
      <c r="C204" s="248"/>
      <c r="D204" s="248"/>
      <c r="E204" s="248"/>
      <c r="F204" s="248"/>
      <c r="G204" s="248"/>
      <c r="H204" s="248"/>
      <c r="I204" s="248"/>
      <c r="J204" s="248" t="s">
        <v>376</v>
      </c>
      <c r="K204" s="243">
        <f>SUMIFS($AI$4:$AI$48,$V$4:$V$48,"",$X$4:$X$48,"Глянцеве покриття з патиною",$F$4:$F$48,19,$H$4:$H$48,1)</f>
        <v>0</v>
      </c>
      <c r="L204" s="244"/>
      <c r="M204" s="226">
        <f>Прайс!$F$83</f>
        <v>4790</v>
      </c>
      <c r="N204" s="245">
        <f t="shared" si="4"/>
        <v>0</v>
      </c>
      <c r="O204" s="244">
        <f>SUMIFS($T$46:$T$50,$P$46:$P$50,"Глянець",$Q$46:$Q$50,"Закрита пора",$F$46:$F$50,16,$R$46:$R$50,"Матове",$S$46:$S$50,"Відкрита пора",$O$46:$O$50,1)</f>
        <v>0</v>
      </c>
      <c r="P204" s="234"/>
      <c r="Q204" s="234"/>
      <c r="R204" s="233"/>
      <c r="S204" s="204"/>
      <c r="T204" s="205"/>
      <c r="U204" s="235"/>
      <c r="V204" s="235"/>
      <c r="AG204" s="236"/>
      <c r="AH204" s="236"/>
      <c r="AI204" s="236"/>
      <c r="AJ204" s="236"/>
      <c r="AK204" s="236"/>
      <c r="AL204" s="236"/>
      <c r="AM204" s="236"/>
      <c r="AN204" s="236"/>
      <c r="AO204" s="236"/>
      <c r="AP204" s="236"/>
      <c r="AQ204" s="237"/>
    </row>
    <row r="205" spans="1:43" ht="15.75" x14ac:dyDescent="0.25">
      <c r="A205" s="163">
        <v>120</v>
      </c>
      <c r="B205" s="248" t="s">
        <v>417</v>
      </c>
      <c r="C205" s="248"/>
      <c r="D205" s="248"/>
      <c r="E205" s="248"/>
      <c r="F205" s="248"/>
      <c r="G205" s="248"/>
      <c r="H205" s="248"/>
      <c r="I205" s="248"/>
      <c r="J205" s="248" t="s">
        <v>376</v>
      </c>
      <c r="K205" s="243">
        <f>SUMIFS($AI$4:$AI$48,$V$4:$V$48,"",$X$4:$X$48,"Глянцеве покриття з патиною",$F$4:$F$48,19,$H$4:$H$48,2)</f>
        <v>0</v>
      </c>
      <c r="L205" s="244"/>
      <c r="M205" s="226">
        <f>Прайс!$G$83</f>
        <v>5210</v>
      </c>
      <c r="N205" s="245">
        <f t="shared" si="4"/>
        <v>0</v>
      </c>
      <c r="O205" s="244">
        <f>SUMIFS($T$46:$T$50,$P$46:$P$50,"Глянець",$Q$46:$Q$50,"Закрита пора",$F$46:$F$50,16,$R$46:$R$50,"Матове",$S$46:$S$50,"Відкрита пора",$O$46:$O$50,2)</f>
        <v>0</v>
      </c>
      <c r="P205" s="234"/>
      <c r="Q205" s="234"/>
      <c r="R205" s="233"/>
      <c r="S205" s="204"/>
      <c r="T205" s="205"/>
      <c r="U205" s="235"/>
      <c r="V205" s="235"/>
      <c r="AG205" s="236"/>
      <c r="AH205" s="236"/>
      <c r="AI205" s="236"/>
      <c r="AJ205" s="236"/>
      <c r="AK205" s="236"/>
      <c r="AL205" s="236"/>
      <c r="AM205" s="236"/>
      <c r="AN205" s="236"/>
      <c r="AO205" s="236"/>
      <c r="AP205" s="236"/>
      <c r="AQ205" s="237"/>
    </row>
    <row r="206" spans="1:43" ht="15.75" x14ac:dyDescent="0.25">
      <c r="A206" s="163">
        <v>121</v>
      </c>
      <c r="B206" s="341" t="s">
        <v>715</v>
      </c>
      <c r="C206" s="248"/>
      <c r="D206" s="248"/>
      <c r="E206" s="248"/>
      <c r="F206" s="248"/>
      <c r="G206" s="248"/>
      <c r="H206" s="248"/>
      <c r="I206" s="248"/>
      <c r="J206" s="248" t="s">
        <v>376</v>
      </c>
      <c r="K206" s="243">
        <f>SUMIFS($AI$4:$AI$48,$V$4:$V$48,"",$X$4:$X$48,"Глянцеве покриття з патиною",$F$4:$F$48,22,$H$4:$H$48,1)</f>
        <v>0</v>
      </c>
      <c r="L206" s="244"/>
      <c r="M206" s="226">
        <f>Прайс!$F$83+700</f>
        <v>5490</v>
      </c>
      <c r="N206" s="245">
        <f t="shared" si="4"/>
        <v>0</v>
      </c>
      <c r="O206" s="244"/>
      <c r="P206" s="234"/>
      <c r="Q206" s="234"/>
      <c r="R206" s="233"/>
      <c r="S206" s="204"/>
      <c r="T206" s="205"/>
      <c r="U206" s="235"/>
      <c r="V206" s="235"/>
      <c r="AG206" s="236"/>
      <c r="AH206" s="236"/>
      <c r="AI206" s="236"/>
      <c r="AJ206" s="236"/>
      <c r="AK206" s="236"/>
      <c r="AL206" s="236"/>
      <c r="AM206" s="236"/>
      <c r="AN206" s="236"/>
      <c r="AO206" s="236"/>
      <c r="AP206" s="236"/>
      <c r="AQ206" s="237"/>
    </row>
    <row r="207" spans="1:43" ht="15.75" x14ac:dyDescent="0.25">
      <c r="A207" s="163">
        <v>122</v>
      </c>
      <c r="B207" s="341" t="s">
        <v>716</v>
      </c>
      <c r="C207" s="248"/>
      <c r="D207" s="248"/>
      <c r="E207" s="248"/>
      <c r="F207" s="248"/>
      <c r="G207" s="248"/>
      <c r="H207" s="248"/>
      <c r="I207" s="248"/>
      <c r="J207" s="248" t="s">
        <v>376</v>
      </c>
      <c r="K207" s="243">
        <f>SUMIFS($AI$4:$AI$48,$V$4:$V$48,"",$X$4:$X$48,"Глянцеве покриття з патиною",$F$4:$F$48,22,$H$4:$H$48,2)</f>
        <v>0</v>
      </c>
      <c r="L207" s="244"/>
      <c r="M207" s="226">
        <f>Прайс!$G$83+700</f>
        <v>5910</v>
      </c>
      <c r="N207" s="245">
        <f t="shared" si="4"/>
        <v>0</v>
      </c>
      <c r="O207" s="244"/>
      <c r="P207" s="234"/>
      <c r="Q207" s="234"/>
      <c r="R207" s="233"/>
      <c r="S207" s="204"/>
      <c r="T207" s="205"/>
      <c r="U207" s="235"/>
      <c r="V207" s="235"/>
      <c r="AG207" s="236"/>
      <c r="AH207" s="236"/>
      <c r="AI207" s="236"/>
      <c r="AJ207" s="236"/>
      <c r="AK207" s="236"/>
      <c r="AL207" s="236"/>
      <c r="AM207" s="236"/>
      <c r="AN207" s="236"/>
      <c r="AO207" s="236"/>
      <c r="AP207" s="236"/>
      <c r="AQ207" s="237"/>
    </row>
    <row r="208" spans="1:43" ht="15.75" x14ac:dyDescent="0.25">
      <c r="A208" s="163">
        <v>123</v>
      </c>
      <c r="B208" s="248" t="s">
        <v>418</v>
      </c>
      <c r="C208" s="248"/>
      <c r="D208" s="248"/>
      <c r="E208" s="248"/>
      <c r="F208" s="248"/>
      <c r="G208" s="248"/>
      <c r="H208" s="248"/>
      <c r="I208" s="248"/>
      <c r="J208" s="248" t="s">
        <v>376</v>
      </c>
      <c r="K208" s="246">
        <f>SUMIFS($AI$4:$AI$48,$Y$4:$Y$48,"Глянцеве покриття з патиною",$AB$4:$AB$48,"&gt;0",$H$4:$H$48,1)</f>
        <v>0</v>
      </c>
      <c r="L208" s="244"/>
      <c r="M208" s="226">
        <f>Прайс!$D$83/2</f>
        <v>2360</v>
      </c>
      <c r="N208" s="245">
        <f t="shared" si="4"/>
        <v>0</v>
      </c>
      <c r="O208" s="244">
        <f>SUMIFS($U$46:$U$50,$P$46:$P$50,"Глянець",$Q$46:$Q$50,"Закрита пора",$F$46:$F$50,19,$R$46:$R$50,"Матове",$S$46:$S$50,"Відкрита пора",$O$46:$O$50,1)</f>
        <v>0</v>
      </c>
      <c r="P208" s="234"/>
      <c r="Q208" s="234"/>
      <c r="R208" s="233"/>
      <c r="S208" s="204"/>
      <c r="T208" s="205"/>
      <c r="U208" s="235"/>
      <c r="V208" s="235"/>
      <c r="AG208" s="236"/>
      <c r="AH208" s="236"/>
      <c r="AI208" s="236"/>
      <c r="AJ208" s="236"/>
      <c r="AK208" s="236"/>
      <c r="AL208" s="236"/>
      <c r="AM208" s="236"/>
      <c r="AN208" s="236"/>
      <c r="AO208" s="236"/>
      <c r="AP208" s="236"/>
      <c r="AQ208" s="237"/>
    </row>
    <row r="209" spans="1:43" ht="16.5" thickBot="1" x14ac:dyDescent="0.3">
      <c r="A209" s="163">
        <v>124</v>
      </c>
      <c r="B209" s="248" t="s">
        <v>419</v>
      </c>
      <c r="C209" s="250"/>
      <c r="D209" s="250"/>
      <c r="E209" s="250"/>
      <c r="F209" s="250"/>
      <c r="G209" s="250"/>
      <c r="H209" s="250"/>
      <c r="I209" s="250"/>
      <c r="J209" s="248" t="s">
        <v>376</v>
      </c>
      <c r="K209" s="246">
        <f>SUMIFS($AI$4:$AI$48,$Y$4:$Y$48,"Глянцеве покриття з патиною",$AB$4:$AB$48,"&gt;0",$H$4:$H$48,2)</f>
        <v>0</v>
      </c>
      <c r="L209" s="244"/>
      <c r="M209" s="226">
        <f>Прайс!$E$83/2</f>
        <v>2570</v>
      </c>
      <c r="N209" s="245">
        <f t="shared" si="4"/>
        <v>0</v>
      </c>
      <c r="O209" s="244">
        <f>SUMIFS($U$46:$U$50,$P$46:$P$50,"Глянець",$Q$46:$Q$50,"Закрита пора",$F$46:$F$50,19,$R$46:$R$50,"Матове",$S$46:$S$50,"Відкрита пора",$O$46:$O$50,2)</f>
        <v>0</v>
      </c>
      <c r="P209" s="234"/>
      <c r="Q209" s="234"/>
      <c r="R209" s="233"/>
      <c r="S209" s="204"/>
      <c r="T209" s="205"/>
      <c r="U209" s="235"/>
      <c r="V209" s="235"/>
      <c r="AG209" s="236"/>
      <c r="AH209" s="236"/>
      <c r="AI209" s="236"/>
      <c r="AJ209" s="236"/>
      <c r="AK209" s="236"/>
      <c r="AL209" s="236"/>
      <c r="AM209" s="236"/>
      <c r="AN209" s="236"/>
      <c r="AO209" s="236"/>
      <c r="AP209" s="236"/>
      <c r="AQ209" s="237"/>
    </row>
    <row r="210" spans="1:43" ht="15.75" x14ac:dyDescent="0.25">
      <c r="A210" s="163">
        <v>125</v>
      </c>
      <c r="B210" s="233" t="s">
        <v>420</v>
      </c>
      <c r="C210" s="233"/>
      <c r="D210" s="233"/>
      <c r="E210" s="233"/>
      <c r="F210" s="233"/>
      <c r="G210" s="233"/>
      <c r="H210" s="233"/>
      <c r="I210" s="233"/>
      <c r="J210" s="233" t="s">
        <v>376</v>
      </c>
      <c r="K210" s="243">
        <f>SUMIFS($AI$4:$AI$48,$V$4:$V$48,"",$X$4:$X$48,"Матовий DECAPE",$F$4:$F$48,16,$H$4:$H$48,1)</f>
        <v>0</v>
      </c>
      <c r="L210" s="244"/>
      <c r="M210" s="226">
        <f>Прайс!$D$84</f>
        <v>4370</v>
      </c>
      <c r="N210" s="245">
        <f t="shared" si="4"/>
        <v>0</v>
      </c>
      <c r="O210" s="244">
        <f>SUMIF($G$14:$G$38,"Пряма без чверті",$H$14:$H$38)</f>
        <v>0</v>
      </c>
      <c r="P210" s="234"/>
      <c r="Q210" s="234"/>
      <c r="R210" s="233"/>
      <c r="S210" s="204"/>
      <c r="T210" s="205"/>
      <c r="U210" s="235"/>
      <c r="V210" s="235"/>
      <c r="AG210" s="236"/>
      <c r="AH210" s="236"/>
      <c r="AI210" s="236"/>
      <c r="AJ210" s="236"/>
      <c r="AK210" s="236"/>
      <c r="AL210" s="236"/>
      <c r="AM210" s="236"/>
      <c r="AN210" s="236"/>
      <c r="AO210" s="236"/>
      <c r="AP210" s="236"/>
      <c r="AQ210" s="237"/>
    </row>
    <row r="211" spans="1:43" ht="15.75" x14ac:dyDescent="0.25">
      <c r="A211" s="163">
        <v>126</v>
      </c>
      <c r="B211" s="233" t="s">
        <v>421</v>
      </c>
      <c r="C211" s="233"/>
      <c r="D211" s="233"/>
      <c r="E211" s="233"/>
      <c r="F211" s="233"/>
      <c r="G211" s="233"/>
      <c r="H211" s="233"/>
      <c r="I211" s="233"/>
      <c r="J211" s="233" t="s">
        <v>376</v>
      </c>
      <c r="K211" s="243">
        <f>SUMIFS($AI$4:$AI$48,$V$4:$V$48,"",$X$4:$X$48,"Матовий DECAPE",$F$4:$F$48,16,$H$4:$H$48,2)</f>
        <v>0</v>
      </c>
      <c r="L211" s="244"/>
      <c r="M211" s="226">
        <f>Прайс!$E$84</f>
        <v>4790</v>
      </c>
      <c r="N211" s="245">
        <f t="shared" si="4"/>
        <v>0</v>
      </c>
      <c r="O211" s="244">
        <f>SUMIF($G$14:$G$38,"Пряма з чвертю",$H$14:$H$38)</f>
        <v>0</v>
      </c>
      <c r="P211" s="234"/>
      <c r="Q211" s="234"/>
      <c r="R211" s="233"/>
      <c r="S211" s="204"/>
      <c r="T211" s="205"/>
      <c r="U211" s="235"/>
      <c r="V211" s="235"/>
      <c r="AG211" s="236"/>
      <c r="AH211" s="236"/>
      <c r="AI211" s="236"/>
      <c r="AJ211" s="236"/>
      <c r="AK211" s="236"/>
      <c r="AL211" s="236"/>
      <c r="AM211" s="236"/>
      <c r="AN211" s="236"/>
      <c r="AO211" s="236"/>
      <c r="AP211" s="236"/>
      <c r="AQ211" s="237"/>
    </row>
    <row r="212" spans="1:43" ht="15.75" x14ac:dyDescent="0.25">
      <c r="A212" s="163">
        <v>127</v>
      </c>
      <c r="B212" s="233" t="s">
        <v>422</v>
      </c>
      <c r="C212" s="233"/>
      <c r="D212" s="233"/>
      <c r="E212" s="233"/>
      <c r="F212" s="233"/>
      <c r="G212" s="233"/>
      <c r="H212" s="233"/>
      <c r="I212" s="233"/>
      <c r="J212" s="233" t="s">
        <v>376</v>
      </c>
      <c r="K212" s="243">
        <f>SUMIFS($AI$4:$AI$48,$V$4:$V$48,"",$X$4:$X$48,"Матовий DECAPE",$F$4:$F$48,19,$H$4:$H$48,1)</f>
        <v>0</v>
      </c>
      <c r="L212" s="244"/>
      <c r="M212" s="226">
        <f>Прайс!$F$84</f>
        <v>4440</v>
      </c>
      <c r="N212" s="245">
        <f t="shared" si="4"/>
        <v>0</v>
      </c>
      <c r="O212" s="244">
        <f>SUMIF($G$46:$G$50,"Без чверті",$H$46:$H$50)</f>
        <v>0</v>
      </c>
      <c r="P212" s="234"/>
      <c r="Q212" s="234"/>
      <c r="R212" s="233"/>
      <c r="S212" s="204"/>
      <c r="T212" s="205"/>
      <c r="U212" s="235"/>
      <c r="V212" s="235"/>
      <c r="AG212" s="236"/>
      <c r="AH212" s="236"/>
      <c r="AI212" s="236"/>
      <c r="AJ212" s="236"/>
      <c r="AK212" s="236"/>
      <c r="AL212" s="236"/>
      <c r="AM212" s="236"/>
      <c r="AN212" s="236"/>
      <c r="AO212" s="236"/>
      <c r="AP212" s="236"/>
      <c r="AQ212" s="237"/>
    </row>
    <row r="213" spans="1:43" ht="15.75" x14ac:dyDescent="0.25">
      <c r="A213" s="163">
        <v>128</v>
      </c>
      <c r="B213" s="233" t="s">
        <v>423</v>
      </c>
      <c r="C213" s="233"/>
      <c r="D213" s="233"/>
      <c r="E213" s="233"/>
      <c r="F213" s="233"/>
      <c r="G213" s="233"/>
      <c r="H213" s="233"/>
      <c r="I213" s="233"/>
      <c r="J213" s="233" t="s">
        <v>376</v>
      </c>
      <c r="K213" s="243">
        <f>SUMIFS($AI$4:$AI$48,$V$4:$V$48,"",$X$4:$X$48,"Матовий DECAPE",$F$4:$F$48,19,$H$4:$H$48,2)</f>
        <v>0</v>
      </c>
      <c r="L213" s="244"/>
      <c r="M213" s="226">
        <f>Прайс!$G$84</f>
        <v>4860</v>
      </c>
      <c r="N213" s="245">
        <f t="shared" si="4"/>
        <v>0</v>
      </c>
      <c r="O213" s="244">
        <f>SUMIF($G$46:$G$50,"З чвертю",$H$46:$H$50)</f>
        <v>0</v>
      </c>
      <c r="P213" s="234"/>
      <c r="Q213" s="234"/>
      <c r="R213" s="233"/>
      <c r="S213" s="204"/>
      <c r="T213" s="205"/>
      <c r="U213" s="235"/>
      <c r="V213" s="235"/>
      <c r="AG213" s="236"/>
      <c r="AH213" s="236"/>
      <c r="AI213" s="236"/>
      <c r="AJ213" s="236"/>
      <c r="AK213" s="236"/>
      <c r="AL213" s="236"/>
      <c r="AM213" s="236"/>
      <c r="AN213" s="236"/>
      <c r="AO213" s="236"/>
      <c r="AP213" s="236"/>
      <c r="AQ213" s="237"/>
    </row>
    <row r="214" spans="1:43" ht="15.75" x14ac:dyDescent="0.25">
      <c r="A214" s="163">
        <v>129</v>
      </c>
      <c r="B214" s="341" t="s">
        <v>717</v>
      </c>
      <c r="C214" s="233"/>
      <c r="D214" s="233"/>
      <c r="E214" s="233"/>
      <c r="F214" s="233"/>
      <c r="G214" s="233"/>
      <c r="H214" s="233"/>
      <c r="I214" s="233"/>
      <c r="J214" s="233" t="s">
        <v>376</v>
      </c>
      <c r="K214" s="243">
        <f>SUMIFS($AI$4:$AI$48,$V$4:$V$48,"",$X$4:$X$48,"Матовий DECAPE",$F$4:$F$48,22,$H$4:$H$48,1)</f>
        <v>0</v>
      </c>
      <c r="L214" s="244"/>
      <c r="M214" s="226">
        <f>Прайс!$F$84+700</f>
        <v>5140</v>
      </c>
      <c r="N214" s="245">
        <f t="shared" si="4"/>
        <v>0</v>
      </c>
      <c r="O214" s="244"/>
      <c r="P214" s="234"/>
      <c r="Q214" s="234"/>
      <c r="R214" s="233"/>
      <c r="S214" s="204"/>
      <c r="T214" s="205"/>
      <c r="U214" s="235"/>
      <c r="V214" s="235"/>
      <c r="AG214" s="236"/>
      <c r="AH214" s="236"/>
      <c r="AI214" s="236"/>
      <c r="AJ214" s="236"/>
      <c r="AK214" s="236"/>
      <c r="AL214" s="236"/>
      <c r="AM214" s="236"/>
      <c r="AN214" s="236"/>
      <c r="AO214" s="236"/>
      <c r="AP214" s="236"/>
      <c r="AQ214" s="237"/>
    </row>
    <row r="215" spans="1:43" ht="15.75" x14ac:dyDescent="0.25">
      <c r="A215" s="163">
        <v>130</v>
      </c>
      <c r="B215" s="341" t="s">
        <v>718</v>
      </c>
      <c r="C215" s="233"/>
      <c r="D215" s="233"/>
      <c r="E215" s="233"/>
      <c r="F215" s="233"/>
      <c r="G215" s="233"/>
      <c r="H215" s="233"/>
      <c r="I215" s="233"/>
      <c r="J215" s="233" t="s">
        <v>376</v>
      </c>
      <c r="K215" s="243">
        <f>SUMIFS($AI$4:$AI$48,$V$4:$V$48,"",$X$4:$X$48,"Матовий DECAPE",$F$4:$F$48,22,$H$4:$H$48,2)</f>
        <v>0</v>
      </c>
      <c r="L215" s="244"/>
      <c r="M215" s="226">
        <f>Прайс!$G$84+700</f>
        <v>5560</v>
      </c>
      <c r="N215" s="245">
        <f t="shared" si="4"/>
        <v>0</v>
      </c>
      <c r="O215" s="244"/>
      <c r="P215" s="234"/>
      <c r="Q215" s="234"/>
      <c r="R215" s="233"/>
      <c r="S215" s="204"/>
      <c r="T215" s="205"/>
      <c r="U215" s="235"/>
      <c r="V215" s="235"/>
      <c r="AG215" s="236"/>
      <c r="AH215" s="236"/>
      <c r="AI215" s="236"/>
      <c r="AJ215" s="236"/>
      <c r="AK215" s="236"/>
      <c r="AL215" s="236"/>
      <c r="AM215" s="236"/>
      <c r="AN215" s="236"/>
      <c r="AO215" s="236"/>
      <c r="AP215" s="236"/>
      <c r="AQ215" s="237"/>
    </row>
    <row r="216" spans="1:43" ht="15.75" x14ac:dyDescent="0.25">
      <c r="A216" s="163">
        <v>131</v>
      </c>
      <c r="B216" s="233" t="s">
        <v>424</v>
      </c>
      <c r="C216" s="233"/>
      <c r="D216" s="233"/>
      <c r="E216" s="233"/>
      <c r="F216" s="233"/>
      <c r="G216" s="233"/>
      <c r="H216" s="233"/>
      <c r="I216" s="233"/>
      <c r="J216" s="233" t="s">
        <v>376</v>
      </c>
      <c r="K216" s="246">
        <f>SUMIFS($AI$4:$AI$48,$Y$4:$Y$48,"Матовий DECAPE",$AB$4:$AB$48,"&gt;0",$H$4:$H$48,1)</f>
        <v>0</v>
      </c>
      <c r="L216" s="244"/>
      <c r="M216" s="226">
        <f>Прайс!$D$84/2</f>
        <v>2185</v>
      </c>
      <c r="N216" s="245">
        <f t="shared" si="4"/>
        <v>0</v>
      </c>
      <c r="O216" s="244">
        <f>SUMIF($I$14:$I$38,"J № 1",$L$14:$L$38)+SUMIF($I$14:$I$38,"J № 2",$L$14:$L$38)+SUMIF($I$14:$I$38,"J № 2L",$L$14:$L$38)+SUMIF($I$14:$I$38,"J № 2R",$L$14:$L$38)+SUMIF($I$14:$I$38,"J № 3L",$L$14:$L$38)+SUMIF($I$14:$I$38,"J № 3R",$L$14:$L$38)+SUMIF($I$14:$I$38,"J № 3L",$L$14:$L$38)+SUMIF($I$14:$I$38,"J № 3R",$L$14:$L$38)+SUMIF($I$14:$I$38,"J № 4L",$L$14:$L$38)+SUMIF($I$14:$I$38,"J № 4R",$L$14:$L$38)+SUMIF($I$14:$I$38,"J № 5L",$L$14:$L$38)+SUMIF($I$14:$I$38,"J № 5R",$L$14:$L$38)</f>
        <v>0</v>
      </c>
      <c r="P216" s="234"/>
      <c r="Q216" s="234"/>
      <c r="R216" s="233"/>
      <c r="S216" s="204"/>
      <c r="T216" s="205"/>
      <c r="U216" s="235"/>
      <c r="V216" s="235"/>
      <c r="AG216" s="236"/>
      <c r="AH216" s="236"/>
      <c r="AI216" s="236"/>
      <c r="AJ216" s="236"/>
      <c r="AK216" s="236"/>
      <c r="AL216" s="236"/>
      <c r="AM216" s="236"/>
      <c r="AN216" s="236"/>
      <c r="AO216" s="236"/>
      <c r="AP216" s="236"/>
      <c r="AQ216" s="237"/>
    </row>
    <row r="217" spans="1:43" ht="15.75" x14ac:dyDescent="0.25">
      <c r="A217" s="163">
        <v>132</v>
      </c>
      <c r="B217" s="233" t="s">
        <v>425</v>
      </c>
      <c r="C217" s="233"/>
      <c r="D217" s="233"/>
      <c r="E217" s="233"/>
      <c r="F217" s="233"/>
      <c r="G217" s="233"/>
      <c r="H217" s="233"/>
      <c r="I217" s="233"/>
      <c r="J217" s="233" t="s">
        <v>376</v>
      </c>
      <c r="K217" s="246">
        <f>SUMIFS($AI$4:$AI$48,$Y$4:$Y$48,"Матовий DECAPE",$AB$4:$AB$48,"&gt;0",$H$4:$H$48,2)</f>
        <v>0</v>
      </c>
      <c r="L217" s="244"/>
      <c r="M217" s="226">
        <f>Прайс!$E$84/2</f>
        <v>2395</v>
      </c>
      <c r="N217" s="245">
        <f t="shared" si="4"/>
        <v>0</v>
      </c>
      <c r="O217" s="244">
        <f>SUMIF($I$14:$I$38,"J № 3",$L$14:$L$38)+SUMIF($I$14:$I$38,"J № 4",$L$14:$L$38)+SUMIF($I$14:$I$38,"J № 5",$L$14:$L$38)+SUMIF($I$14:$I$38,"J № 6",$L$14:$L$38)+SUMIF($I$14:$I$38,"J № 7",$L$14:$L$38)</f>
        <v>0</v>
      </c>
      <c r="P217" s="234"/>
      <c r="Q217" s="234"/>
      <c r="R217" s="233"/>
      <c r="S217" s="204"/>
      <c r="T217" s="205"/>
      <c r="U217" s="235"/>
      <c r="V217" s="235"/>
      <c r="AG217" s="236"/>
      <c r="AH217" s="236"/>
      <c r="AI217" s="236"/>
      <c r="AJ217" s="236"/>
      <c r="AK217" s="236"/>
      <c r="AL217" s="236"/>
      <c r="AM217" s="236"/>
      <c r="AN217" s="236"/>
      <c r="AO217" s="236"/>
      <c r="AP217" s="236"/>
      <c r="AQ217" s="237"/>
    </row>
    <row r="218" spans="1:43" ht="15.75" x14ac:dyDescent="0.25">
      <c r="A218" s="163">
        <v>133</v>
      </c>
      <c r="B218" s="248" t="s">
        <v>426</v>
      </c>
      <c r="C218" s="248"/>
      <c r="D218" s="248"/>
      <c r="E218" s="248"/>
      <c r="F218" s="248"/>
      <c r="G218" s="248"/>
      <c r="H218" s="248"/>
      <c r="I218" s="248"/>
      <c r="J218" s="248" t="s">
        <v>376</v>
      </c>
      <c r="K218" s="243">
        <f>SUMIFS($AI$4:$AI$48,$V$4:$V$48,"",$X$4:$X$48,"Глянцевий DECAPE",$F$4:$F$48,16,$H$4:$H$48,1)</f>
        <v>0</v>
      </c>
      <c r="L218" s="244"/>
      <c r="M218" s="226">
        <f>Прайс!$D$85</f>
        <v>5350</v>
      </c>
      <c r="N218" s="245">
        <f t="shared" si="4"/>
        <v>0</v>
      </c>
      <c r="O218" s="244">
        <f>SUMIF($I$14:$I$38,"45 град.",$L$14:$L$38)</f>
        <v>0</v>
      </c>
      <c r="P218" s="234"/>
      <c r="Q218" s="234"/>
      <c r="R218" s="233"/>
      <c r="S218" s="204"/>
      <c r="T218" s="205"/>
      <c r="U218" s="235"/>
      <c r="V218" s="235"/>
      <c r="AG218" s="236"/>
      <c r="AH218" s="236"/>
      <c r="AI218" s="236"/>
      <c r="AJ218" s="236"/>
      <c r="AK218" s="236"/>
      <c r="AL218" s="236"/>
      <c r="AM218" s="236"/>
      <c r="AN218" s="236"/>
      <c r="AO218" s="236"/>
      <c r="AP218" s="236"/>
      <c r="AQ218" s="237"/>
    </row>
    <row r="219" spans="1:43" ht="15.75" x14ac:dyDescent="0.25">
      <c r="A219" s="163">
        <v>134</v>
      </c>
      <c r="B219" s="248" t="s">
        <v>427</v>
      </c>
      <c r="C219" s="248"/>
      <c r="D219" s="248"/>
      <c r="E219" s="248"/>
      <c r="F219" s="248"/>
      <c r="G219" s="248"/>
      <c r="H219" s="248"/>
      <c r="I219" s="248"/>
      <c r="J219" s="248" t="s">
        <v>376</v>
      </c>
      <c r="K219" s="243">
        <f>SUMIFS($AI$4:$AI$48,$V$4:$V$48,"",$X$4:$X$48,"Глянцевий DECAPE",$F$4:$F$48,16,$H$4:$H$48,2)</f>
        <v>0</v>
      </c>
      <c r="L219" s="244"/>
      <c r="M219" s="226">
        <f>Прайс!$E$85</f>
        <v>5770</v>
      </c>
      <c r="N219" s="245">
        <f t="shared" si="4"/>
        <v>0</v>
      </c>
      <c r="O219" s="244">
        <f>SUMIF($I$46:$I$50,"J № 1",$L$46:$L$50)+SUMIF($I$46:$I$50,"J № 2",$L$46:$L$50)+SUMIF($I$46:$I$50,"J № 2L",$L$46:$L$50)+SUMIF($I$46:$I$50,"J № 2R",$L$46:$L$50)+SUMIF($I$46:$I$50,"J № 3L",$L$46:$L$50)+SUMIF($I$46:$I$50,"J № 3R",$L$46:$L$50)+SUMIF($I$46:$I$50,"J № 3L",$L$46:$L$50)+SUMIF($I$46:$I$50,"J № 3R",$L$46:$L$50)+SUMIF($I$46:$I$50,"J № 4L",$L$46:$L$50)+SUMIF($I$46:$I$50,"J № 4R",$L$46:$L$50)+SUMIF($I$46:$I$50,"J № 5L",$L$46:$L$50)+SUMIF($I$46:$I$50,"J № 5R",$L$46:$L$50)+SUMIF($I$46:$I$50,"J № 3",$L$46:$L$50)+SUMIF($I$46:$I$50,"J № 4",$L$46:$L$50)+SUMIF($I$46:$I$50,"J № 5",$L$46:$L$50)+SUMIF($I$46:$I$50,"J № 6",$L$46:$L$50)+SUMIF($I$46:$I$50,"J № 7",$L$46:$L$50)</f>
        <v>0</v>
      </c>
      <c r="P219" s="234"/>
      <c r="Q219" s="234"/>
      <c r="R219" s="233"/>
      <c r="S219" s="204"/>
      <c r="T219" s="205"/>
      <c r="U219" s="235"/>
      <c r="V219" s="235"/>
      <c r="AG219" s="236"/>
      <c r="AH219" s="236"/>
      <c r="AI219" s="236"/>
      <c r="AJ219" s="236"/>
      <c r="AK219" s="236"/>
      <c r="AL219" s="236"/>
      <c r="AM219" s="236"/>
      <c r="AN219" s="236"/>
      <c r="AO219" s="236"/>
      <c r="AP219" s="236"/>
      <c r="AQ219" s="237"/>
    </row>
    <row r="220" spans="1:43" ht="15.75" x14ac:dyDescent="0.25">
      <c r="A220" s="163">
        <v>135</v>
      </c>
      <c r="B220" s="248" t="s">
        <v>428</v>
      </c>
      <c r="C220" s="248"/>
      <c r="D220" s="248"/>
      <c r="E220" s="248"/>
      <c r="F220" s="248"/>
      <c r="G220" s="248"/>
      <c r="H220" s="248"/>
      <c r="I220" s="248"/>
      <c r="J220" s="248" t="s">
        <v>376</v>
      </c>
      <c r="K220" s="243">
        <f>SUMIFS($AI$4:$AI$48,$V$4:$V$48,"",$X$4:$X$48,"Глянцевий DECAPE",$F$4:$F$48,19,$H$4:$H$48,1)</f>
        <v>0</v>
      </c>
      <c r="L220" s="244"/>
      <c r="M220" s="226">
        <f>Прайс!$F$85</f>
        <v>5420</v>
      </c>
      <c r="N220" s="245">
        <f t="shared" si="4"/>
        <v>0</v>
      </c>
      <c r="O220" s="245">
        <f>SUM(W38:W62)+SUM(W70:W74)</f>
        <v>0</v>
      </c>
      <c r="P220" s="234"/>
      <c r="Q220" s="234"/>
      <c r="R220" s="233"/>
      <c r="S220" s="204"/>
      <c r="T220" s="205"/>
      <c r="U220" s="235"/>
      <c r="V220" s="235"/>
      <c r="AG220" s="236"/>
      <c r="AH220" s="236"/>
      <c r="AI220" s="236"/>
      <c r="AJ220" s="236"/>
      <c r="AK220" s="236"/>
      <c r="AL220" s="236"/>
      <c r="AM220" s="236"/>
      <c r="AN220" s="236"/>
      <c r="AO220" s="236"/>
      <c r="AP220" s="236"/>
      <c r="AQ220" s="237"/>
    </row>
    <row r="221" spans="1:43" ht="15.75" x14ac:dyDescent="0.25">
      <c r="A221" s="163">
        <v>136</v>
      </c>
      <c r="B221" s="248" t="s">
        <v>429</v>
      </c>
      <c r="C221" s="248"/>
      <c r="D221" s="248"/>
      <c r="E221" s="248"/>
      <c r="F221" s="248"/>
      <c r="G221" s="248"/>
      <c r="H221" s="248"/>
      <c r="I221" s="248"/>
      <c r="J221" s="248" t="s">
        <v>376</v>
      </c>
      <c r="K221" s="243">
        <f>SUMIFS($AI$4:$AI$48,$V$4:$V$48,"",$X$4:$X$48,"Глянцевий DECAPE",$F$4:$F$48,19,$H$4:$H$48,2)</f>
        <v>0</v>
      </c>
      <c r="L221" s="244"/>
      <c r="M221" s="226">
        <f>Прайс!$G$85</f>
        <v>5840</v>
      </c>
      <c r="N221" s="245">
        <f t="shared" si="4"/>
        <v>0</v>
      </c>
      <c r="O221" s="245"/>
      <c r="P221" s="234"/>
      <c r="Q221" s="234"/>
      <c r="R221" s="233"/>
      <c r="S221" s="204"/>
      <c r="T221" s="205"/>
      <c r="U221" s="235"/>
      <c r="V221" s="235"/>
      <c r="AG221" s="236"/>
      <c r="AH221" s="236"/>
      <c r="AI221" s="236"/>
      <c r="AJ221" s="236"/>
      <c r="AK221" s="236"/>
      <c r="AL221" s="236"/>
      <c r="AM221" s="236"/>
      <c r="AN221" s="236"/>
      <c r="AO221" s="236"/>
      <c r="AP221" s="236"/>
      <c r="AQ221" s="237"/>
    </row>
    <row r="222" spans="1:43" ht="15.75" x14ac:dyDescent="0.25">
      <c r="A222" s="163">
        <v>137</v>
      </c>
      <c r="B222" s="341" t="s">
        <v>719</v>
      </c>
      <c r="C222" s="248"/>
      <c r="D222" s="248"/>
      <c r="E222" s="248"/>
      <c r="F222" s="248"/>
      <c r="G222" s="248"/>
      <c r="H222" s="248"/>
      <c r="I222" s="248"/>
      <c r="J222" s="248" t="s">
        <v>376</v>
      </c>
      <c r="K222" s="243">
        <f>SUMIFS($AI$4:$AI$48,$V$4:$V$48,"",$X$4:$X$48,"Глянцевий DECAPE",$F$4:$F$48,22,$H$4:$H$48,1)</f>
        <v>0</v>
      </c>
      <c r="L222" s="244"/>
      <c r="M222" s="226">
        <f>Прайс!$F$85+700</f>
        <v>6120</v>
      </c>
      <c r="N222" s="245">
        <f t="shared" si="4"/>
        <v>0</v>
      </c>
      <c r="O222" s="245"/>
      <c r="P222" s="234"/>
      <c r="Q222" s="234"/>
      <c r="R222" s="233"/>
      <c r="S222" s="204"/>
      <c r="T222" s="205"/>
      <c r="U222" s="235"/>
      <c r="V222" s="235"/>
      <c r="AG222" s="236"/>
      <c r="AH222" s="236"/>
      <c r="AI222" s="236"/>
      <c r="AJ222" s="236"/>
      <c r="AK222" s="236"/>
      <c r="AL222" s="236"/>
      <c r="AM222" s="236"/>
      <c r="AN222" s="236"/>
      <c r="AO222" s="236"/>
      <c r="AP222" s="236"/>
      <c r="AQ222" s="237"/>
    </row>
    <row r="223" spans="1:43" ht="15.75" x14ac:dyDescent="0.25">
      <c r="A223" s="163">
        <v>138</v>
      </c>
      <c r="B223" s="341" t="s">
        <v>720</v>
      </c>
      <c r="C223" s="248"/>
      <c r="D223" s="248"/>
      <c r="E223" s="248"/>
      <c r="F223" s="248"/>
      <c r="G223" s="248"/>
      <c r="H223" s="248"/>
      <c r="I223" s="248"/>
      <c r="J223" s="248" t="s">
        <v>376</v>
      </c>
      <c r="K223" s="243">
        <f>SUMIFS($AI$4:$AI$48,$V$4:$V$48,"",$X$4:$X$48,"Глянцевий DECAPE",$F$4:$F$48,22,$H$4:$H$48,2)</f>
        <v>0</v>
      </c>
      <c r="L223" s="244"/>
      <c r="M223" s="226">
        <f>Прайс!$G$85+700</f>
        <v>6540</v>
      </c>
      <c r="N223" s="245">
        <f t="shared" si="4"/>
        <v>0</v>
      </c>
      <c r="O223" s="245"/>
      <c r="P223" s="234"/>
      <c r="Q223" s="234"/>
      <c r="R223" s="233"/>
      <c r="S223" s="204"/>
      <c r="T223" s="205"/>
      <c r="U223" s="235"/>
      <c r="V223" s="235"/>
      <c r="AG223" s="236"/>
      <c r="AH223" s="236"/>
      <c r="AI223" s="236"/>
      <c r="AJ223" s="236"/>
      <c r="AK223" s="236"/>
      <c r="AL223" s="236"/>
      <c r="AM223" s="236"/>
      <c r="AN223" s="236"/>
      <c r="AO223" s="236"/>
      <c r="AP223" s="236"/>
      <c r="AQ223" s="237"/>
    </row>
    <row r="224" spans="1:43" ht="15.75" x14ac:dyDescent="0.25">
      <c r="A224" s="163">
        <v>139</v>
      </c>
      <c r="B224" s="248" t="s">
        <v>430</v>
      </c>
      <c r="C224" s="248"/>
      <c r="D224" s="248"/>
      <c r="E224" s="248"/>
      <c r="F224" s="248"/>
      <c r="G224" s="248"/>
      <c r="H224" s="248"/>
      <c r="I224" s="248"/>
      <c r="J224" s="248" t="s">
        <v>376</v>
      </c>
      <c r="K224" s="246">
        <f>SUMIFS($AI$4:$AI$48,$Y$4:$Y$48,"Глянцевий DECAPE",$AB$4:$AB$48,"&gt;0",$H$4:$H$48,1)</f>
        <v>0</v>
      </c>
      <c r="L224" s="244"/>
      <c r="M224" s="226">
        <f>Прайс!$D$85/2</f>
        <v>2675</v>
      </c>
      <c r="N224" s="245">
        <f t="shared" si="4"/>
        <v>0</v>
      </c>
      <c r="O224" s="245"/>
      <c r="P224" s="234"/>
      <c r="Q224" s="234"/>
      <c r="R224" s="233"/>
      <c r="S224" s="204"/>
      <c r="T224" s="205"/>
      <c r="U224" s="235"/>
      <c r="V224" s="235"/>
      <c r="AG224" s="236"/>
      <c r="AH224" s="236"/>
      <c r="AI224" s="236"/>
      <c r="AJ224" s="236"/>
      <c r="AK224" s="236"/>
      <c r="AL224" s="236"/>
      <c r="AM224" s="236"/>
      <c r="AN224" s="236"/>
      <c r="AO224" s="236"/>
      <c r="AP224" s="236"/>
      <c r="AQ224" s="237"/>
    </row>
    <row r="225" spans="1:43" ht="15.75" x14ac:dyDescent="0.25">
      <c r="A225" s="163">
        <v>140</v>
      </c>
      <c r="B225" s="248" t="s">
        <v>431</v>
      </c>
      <c r="C225" s="247"/>
      <c r="D225" s="251"/>
      <c r="E225" s="251"/>
      <c r="F225" s="252"/>
      <c r="G225" s="252"/>
      <c r="H225" s="252"/>
      <c r="I225" s="252"/>
      <c r="J225" s="248" t="s">
        <v>376</v>
      </c>
      <c r="K225" s="246">
        <f>SUMIFS($AI$4:$AI$48,$Y$4:$Y$48,"Глянцевий DECAPE",$AB$4:$AB$48,"&gt;0",$H$4:$H$48,2)</f>
        <v>0</v>
      </c>
      <c r="L225" s="244"/>
      <c r="M225" s="226">
        <f>Прайс!$E$85/2</f>
        <v>2885</v>
      </c>
      <c r="N225" s="245">
        <f t="shared" si="4"/>
        <v>0</v>
      </c>
      <c r="O225" s="245"/>
      <c r="P225" s="234"/>
      <c r="Q225" s="234"/>
      <c r="R225" s="233"/>
      <c r="S225" s="204"/>
      <c r="T225" s="205"/>
      <c r="U225" s="235"/>
      <c r="V225" s="235"/>
      <c r="AG225" s="236"/>
      <c r="AH225" s="236"/>
      <c r="AI225" s="236"/>
      <c r="AJ225" s="236"/>
      <c r="AK225" s="236"/>
      <c r="AL225" s="236"/>
      <c r="AM225" s="236"/>
      <c r="AN225" s="236"/>
      <c r="AO225" s="236"/>
      <c r="AP225" s="236"/>
      <c r="AQ225" s="237"/>
    </row>
    <row r="226" spans="1:43" ht="15.75" x14ac:dyDescent="0.25">
      <c r="A226" s="163">
        <v>141</v>
      </c>
      <c r="B226" s="233" t="s">
        <v>432</v>
      </c>
      <c r="C226" s="232"/>
      <c r="D226" s="216"/>
      <c r="E226" s="216"/>
      <c r="F226" s="216"/>
      <c r="G226" s="216"/>
      <c r="H226" s="216"/>
      <c r="I226" s="216"/>
      <c r="J226" s="233" t="s">
        <v>376</v>
      </c>
      <c r="K226" s="243">
        <f>SUMIFS($AI$4:$AI$48,$V$4:$V$48,"",$X$4:$X$48,"Матова фарба + патина+матовий лак (відкрита пора)",$F$4:$F$48,16,$H$4:$H$48,1)</f>
        <v>0</v>
      </c>
      <c r="L226" s="244"/>
      <c r="M226" s="253">
        <f>Прайс!$D$90</f>
        <v>7180</v>
      </c>
      <c r="N226" s="245">
        <f t="shared" si="4"/>
        <v>0</v>
      </c>
      <c r="O226" s="245"/>
      <c r="P226" s="234"/>
      <c r="Q226" s="234"/>
      <c r="R226" s="233"/>
      <c r="S226" s="204"/>
      <c r="T226" s="205"/>
      <c r="U226" s="235"/>
      <c r="V226" s="235"/>
      <c r="AG226" s="236"/>
      <c r="AH226" s="236"/>
      <c r="AI226" s="236"/>
      <c r="AJ226" s="236"/>
      <c r="AK226" s="236"/>
      <c r="AL226" s="236"/>
      <c r="AM226" s="236"/>
      <c r="AN226" s="236"/>
      <c r="AO226" s="236"/>
      <c r="AP226" s="236"/>
      <c r="AQ226" s="237"/>
    </row>
    <row r="227" spans="1:43" ht="15.75" x14ac:dyDescent="0.25">
      <c r="A227" s="163">
        <v>142</v>
      </c>
      <c r="B227" s="233" t="s">
        <v>433</v>
      </c>
      <c r="C227" s="232"/>
      <c r="D227" s="216"/>
      <c r="E227" s="239"/>
      <c r="F227" s="216"/>
      <c r="G227" s="216"/>
      <c r="H227" s="216"/>
      <c r="I227" s="216"/>
      <c r="J227" s="233" t="s">
        <v>376</v>
      </c>
      <c r="K227" s="243">
        <f>SUMIFS($AI$4:$AI$48,$V$4:$V$48,"",$X$4:$X$48,"Матова фарба + патина+матовий лак (відкрита пора)",$F$4:$F$48,16,$H$4:$H$48,2)</f>
        <v>0</v>
      </c>
      <c r="L227" s="244"/>
      <c r="M227" s="253">
        <f>Прайс!$E$90</f>
        <v>8530</v>
      </c>
      <c r="N227" s="245">
        <f t="shared" si="4"/>
        <v>0</v>
      </c>
      <c r="O227" s="245"/>
      <c r="P227" s="234"/>
      <c r="Q227" s="234"/>
      <c r="R227" s="233"/>
      <c r="S227" s="204"/>
      <c r="T227" s="205"/>
      <c r="U227" s="235"/>
      <c r="V227" s="235"/>
      <c r="AG227" s="236"/>
      <c r="AH227" s="236"/>
      <c r="AI227" s="236"/>
      <c r="AJ227" s="236"/>
      <c r="AK227" s="236"/>
      <c r="AL227" s="236"/>
      <c r="AM227" s="236"/>
      <c r="AN227" s="236"/>
      <c r="AO227" s="236"/>
      <c r="AP227" s="236"/>
      <c r="AQ227" s="237"/>
    </row>
    <row r="228" spans="1:43" ht="15.75" x14ac:dyDescent="0.25">
      <c r="A228" s="163">
        <v>143</v>
      </c>
      <c r="B228" s="233" t="s">
        <v>434</v>
      </c>
      <c r="C228" s="233"/>
      <c r="D228" s="233"/>
      <c r="E228" s="233"/>
      <c r="F228" s="233"/>
      <c r="G228" s="233"/>
      <c r="H228" s="233"/>
      <c r="I228" s="233"/>
      <c r="J228" s="233" t="s">
        <v>376</v>
      </c>
      <c r="K228" s="243">
        <f>SUMIFS($AI$4:$AI$48,$V$4:$V$48,"",$X$4:$X$48,"Матова фарба + патина+матовий лак (відкрита пора)",$F$4:$F$48,19,$H$4:$H$48,1)</f>
        <v>0</v>
      </c>
      <c r="L228" s="254"/>
      <c r="M228" s="255">
        <f>Прайс!$F$90</f>
        <v>7250</v>
      </c>
      <c r="N228" s="245">
        <f t="shared" si="4"/>
        <v>0</v>
      </c>
      <c r="O228" s="254"/>
      <c r="P228" s="234"/>
      <c r="Q228" s="234"/>
      <c r="R228" s="233"/>
      <c r="S228" s="204"/>
      <c r="T228" s="205"/>
      <c r="U228" s="235"/>
      <c r="V228" s="235"/>
      <c r="AG228" s="236"/>
      <c r="AH228" s="236"/>
      <c r="AI228" s="236"/>
      <c r="AJ228" s="236"/>
      <c r="AK228" s="236"/>
      <c r="AL228" s="236"/>
      <c r="AM228" s="236"/>
      <c r="AN228" s="236"/>
      <c r="AO228" s="236"/>
      <c r="AP228" s="236"/>
      <c r="AQ228" s="237"/>
    </row>
    <row r="229" spans="1:43" ht="15.75" x14ac:dyDescent="0.25">
      <c r="A229" s="163">
        <v>144</v>
      </c>
      <c r="B229" s="233" t="s">
        <v>435</v>
      </c>
      <c r="C229" s="233"/>
      <c r="D229" s="233"/>
      <c r="E229" s="233"/>
      <c r="F229" s="233"/>
      <c r="G229" s="233"/>
      <c r="H229" s="233"/>
      <c r="I229" s="233"/>
      <c r="J229" s="233" t="s">
        <v>376</v>
      </c>
      <c r="K229" s="243">
        <f>SUMIFS($AI$4:$AI$48,$V$4:$V$48,"",$X$4:$X$48,"Матова фарба + патина+матовий лак (відкрита пора)",$F$4:$F$48,19,$H$4:$H$48,2)</f>
        <v>0</v>
      </c>
      <c r="L229" s="254"/>
      <c r="M229" s="255">
        <f>Прайс!$G$90</f>
        <v>8600</v>
      </c>
      <c r="N229" s="245">
        <f t="shared" si="4"/>
        <v>0</v>
      </c>
      <c r="O229" s="254"/>
      <c r="P229" s="234"/>
      <c r="Q229" s="234"/>
      <c r="R229" s="233"/>
      <c r="S229" s="204"/>
      <c r="T229" s="205"/>
      <c r="U229" s="235"/>
      <c r="V229" s="235"/>
      <c r="AG229" s="236"/>
      <c r="AH229" s="236"/>
      <c r="AI229" s="236"/>
      <c r="AJ229" s="236"/>
      <c r="AK229" s="236"/>
      <c r="AL229" s="236"/>
      <c r="AM229" s="236"/>
      <c r="AN229" s="236"/>
      <c r="AO229" s="236"/>
      <c r="AP229" s="236"/>
      <c r="AQ229" s="237"/>
    </row>
    <row r="230" spans="1:43" ht="15.75" x14ac:dyDescent="0.25">
      <c r="A230" s="163">
        <v>145</v>
      </c>
      <c r="B230" s="341" t="s">
        <v>721</v>
      </c>
      <c r="C230" s="233"/>
      <c r="D230" s="233"/>
      <c r="E230" s="233"/>
      <c r="F230" s="233"/>
      <c r="G230" s="233"/>
      <c r="H230" s="233"/>
      <c r="I230" s="233"/>
      <c r="J230" s="233" t="s">
        <v>376</v>
      </c>
      <c r="K230" s="243">
        <f>SUMIFS($AI$4:$AI$48,$V$4:$V$48,"",$X$4:$X$48,"Матова фарба + патина+матовий лак (відкрита пора)",$F$4:$F$48,22,$H$4:$H$48,1)</f>
        <v>0</v>
      </c>
      <c r="L230" s="254"/>
      <c r="M230" s="255">
        <f>Прайс!$F$90+700</f>
        <v>7950</v>
      </c>
      <c r="N230" s="245">
        <f t="shared" si="4"/>
        <v>0</v>
      </c>
      <c r="O230" s="254"/>
      <c r="P230" s="234"/>
      <c r="Q230" s="234"/>
      <c r="R230" s="233"/>
      <c r="S230" s="204"/>
      <c r="T230" s="205"/>
      <c r="U230" s="235"/>
      <c r="V230" s="235"/>
      <c r="AG230" s="236"/>
      <c r="AH230" s="236"/>
      <c r="AI230" s="236"/>
      <c r="AJ230" s="236"/>
      <c r="AK230" s="236"/>
      <c r="AL230" s="236"/>
      <c r="AM230" s="236"/>
      <c r="AN230" s="236"/>
      <c r="AO230" s="236"/>
      <c r="AP230" s="236"/>
      <c r="AQ230" s="237"/>
    </row>
    <row r="231" spans="1:43" ht="15.75" x14ac:dyDescent="0.25">
      <c r="A231" s="163">
        <v>146</v>
      </c>
      <c r="B231" s="341" t="s">
        <v>722</v>
      </c>
      <c r="C231" s="233"/>
      <c r="D231" s="233"/>
      <c r="E231" s="233"/>
      <c r="F231" s="233"/>
      <c r="G231" s="233"/>
      <c r="H231" s="233"/>
      <c r="I231" s="233"/>
      <c r="J231" s="233" t="s">
        <v>376</v>
      </c>
      <c r="K231" s="243">
        <f>SUMIFS($AI$4:$AI$48,$V$4:$V$48,"",$X$4:$X$48,"Матова фарба + патина+матовий лак (відкрита пора)",$F$4:$F$48,22,$H$4:$H$48,2)</f>
        <v>0</v>
      </c>
      <c r="L231" s="254"/>
      <c r="M231" s="255">
        <f>Прайс!$G$90+700</f>
        <v>9300</v>
      </c>
      <c r="N231" s="245">
        <f t="shared" si="4"/>
        <v>0</v>
      </c>
      <c r="O231" s="254"/>
      <c r="P231" s="234"/>
      <c r="Q231" s="234"/>
      <c r="R231" s="233"/>
      <c r="S231" s="204"/>
      <c r="T231" s="205"/>
      <c r="U231" s="235"/>
      <c r="V231" s="235"/>
      <c r="AG231" s="236"/>
      <c r="AH231" s="236"/>
      <c r="AI231" s="236"/>
      <c r="AJ231" s="236"/>
      <c r="AK231" s="236"/>
      <c r="AL231" s="236"/>
      <c r="AM231" s="236"/>
      <c r="AN231" s="236"/>
      <c r="AO231" s="236"/>
      <c r="AP231" s="236"/>
      <c r="AQ231" s="237"/>
    </row>
    <row r="232" spans="1:43" ht="15.75" x14ac:dyDescent="0.25">
      <c r="A232" s="163">
        <v>147</v>
      </c>
      <c r="B232" s="233" t="s">
        <v>436</v>
      </c>
      <c r="C232" s="233"/>
      <c r="D232" s="233"/>
      <c r="E232" s="233"/>
      <c r="F232" s="233"/>
      <c r="G232" s="233"/>
      <c r="H232" s="233"/>
      <c r="I232" s="233"/>
      <c r="J232" s="233" t="s">
        <v>376</v>
      </c>
      <c r="K232" s="246">
        <f>SUMIFS($AI$4:$AI$48,$Y$4:$Y$48,"Матова фарба + патина+матовий лак (відкрита пора)",$AB$4:$AB$48,"&gt;0",$H$4:$H$48,1)</f>
        <v>0</v>
      </c>
      <c r="L232" s="254"/>
      <c r="M232" s="255">
        <f>Прайс!$D$90*0.5</f>
        <v>3590</v>
      </c>
      <c r="N232" s="245">
        <f t="shared" si="4"/>
        <v>0</v>
      </c>
      <c r="O232" s="254"/>
      <c r="P232" s="234"/>
      <c r="Q232" s="234"/>
      <c r="R232" s="233"/>
      <c r="S232" s="204"/>
      <c r="T232" s="205"/>
      <c r="U232" s="235"/>
      <c r="V232" s="235"/>
      <c r="AG232" s="236"/>
      <c r="AH232" s="236"/>
      <c r="AI232" s="236"/>
      <c r="AJ232" s="236"/>
      <c r="AK232" s="236"/>
      <c r="AL232" s="236"/>
      <c r="AM232" s="236"/>
      <c r="AN232" s="236"/>
      <c r="AO232" s="236"/>
      <c r="AP232" s="236"/>
      <c r="AQ232" s="237"/>
    </row>
    <row r="233" spans="1:43" ht="15.75" x14ac:dyDescent="0.25">
      <c r="A233" s="163">
        <v>148</v>
      </c>
      <c r="B233" s="233" t="s">
        <v>437</v>
      </c>
      <c r="C233" s="233"/>
      <c r="D233" s="233"/>
      <c r="E233" s="233"/>
      <c r="F233" s="233"/>
      <c r="G233" s="233"/>
      <c r="H233" s="233"/>
      <c r="I233" s="233"/>
      <c r="J233" s="233" t="s">
        <v>376</v>
      </c>
      <c r="K233" s="246">
        <f>SUMIFS($AI$4:$AI$48,$Y$4:$Y$48,"Матова фарба + патина+матовий лак (відкрита пора)",$AB$4:$AB$48,"&gt;0",$H$4:$H$48,2)</f>
        <v>0</v>
      </c>
      <c r="L233" s="254"/>
      <c r="M233" s="255">
        <f>Прайс!$E$90*0.5</f>
        <v>4265</v>
      </c>
      <c r="N233" s="245">
        <f t="shared" si="4"/>
        <v>0</v>
      </c>
      <c r="O233" s="254"/>
      <c r="P233" s="234"/>
      <c r="Q233" s="234"/>
      <c r="R233" s="233"/>
      <c r="S233" s="204"/>
      <c r="T233" s="205"/>
      <c r="U233" s="235"/>
      <c r="V233" s="235"/>
      <c r="AG233" s="236"/>
      <c r="AH233" s="236"/>
      <c r="AI233" s="236"/>
      <c r="AJ233" s="236"/>
      <c r="AK233" s="236"/>
      <c r="AL233" s="236"/>
      <c r="AM233" s="236"/>
      <c r="AN233" s="236"/>
      <c r="AO233" s="236"/>
      <c r="AP233" s="236"/>
      <c r="AQ233" s="237"/>
    </row>
    <row r="234" spans="1:43" s="261" customFormat="1" ht="15.75" x14ac:dyDescent="0.25">
      <c r="A234" s="163">
        <v>149</v>
      </c>
      <c r="B234" s="248" t="s">
        <v>438</v>
      </c>
      <c r="C234" s="248"/>
      <c r="D234" s="248"/>
      <c r="E234" s="248"/>
      <c r="F234" s="248"/>
      <c r="G234" s="248"/>
      <c r="H234" s="248"/>
      <c r="I234" s="248"/>
      <c r="J234" s="248" t="s">
        <v>376</v>
      </c>
      <c r="K234" s="243">
        <f>SUMIFS($AI$4:$AI$48,$V$4:$V$48,"",$X$4:$X$48,"Тонування+патина+матовий лак (відкрита пора)",$F$4:$F$48,16,$H$4:$H$48,1)</f>
        <v>0</v>
      </c>
      <c r="L234" s="256"/>
      <c r="M234" s="257">
        <f>Прайс!$D$89</f>
        <v>7670</v>
      </c>
      <c r="N234" s="245">
        <f t="shared" si="4"/>
        <v>0</v>
      </c>
      <c r="O234" s="256"/>
      <c r="P234" s="252"/>
      <c r="Q234" s="252"/>
      <c r="R234" s="248"/>
      <c r="S234" s="258"/>
      <c r="T234" s="259"/>
      <c r="U234" s="260"/>
      <c r="V234" s="260"/>
      <c r="AG234" s="262"/>
      <c r="AH234" s="262"/>
      <c r="AI234" s="262"/>
      <c r="AJ234" s="262"/>
      <c r="AK234" s="262"/>
      <c r="AL234" s="262"/>
      <c r="AM234" s="262"/>
      <c r="AN234" s="262"/>
      <c r="AO234" s="262"/>
      <c r="AP234" s="262"/>
      <c r="AQ234" s="263"/>
    </row>
    <row r="235" spans="1:43" s="261" customFormat="1" ht="15.75" x14ac:dyDescent="0.25">
      <c r="A235" s="163">
        <v>150</v>
      </c>
      <c r="B235" s="248" t="s">
        <v>439</v>
      </c>
      <c r="C235" s="248"/>
      <c r="D235" s="248"/>
      <c r="E235" s="248"/>
      <c r="F235" s="248"/>
      <c r="G235" s="248"/>
      <c r="H235" s="248"/>
      <c r="I235" s="248"/>
      <c r="J235" s="248" t="s">
        <v>376</v>
      </c>
      <c r="K235" s="243">
        <f>SUMIFS($AI$4:$AI$48,$V$4:$V$48,"",$X$4:$X$48,"Матова фарба + патина+матовий лак (відкрита пора)",$F$4:$F$48,16,$H$4:$H$48,2)</f>
        <v>0</v>
      </c>
      <c r="L235" s="256"/>
      <c r="M235" s="257">
        <f>Прайс!$E$89</f>
        <v>9020</v>
      </c>
      <c r="N235" s="245">
        <f t="shared" si="4"/>
        <v>0</v>
      </c>
      <c r="O235" s="256"/>
      <c r="P235" s="252"/>
      <c r="Q235" s="252"/>
      <c r="R235" s="248"/>
      <c r="S235" s="258"/>
      <c r="T235" s="259"/>
      <c r="U235" s="260"/>
      <c r="V235" s="260"/>
      <c r="AG235" s="262"/>
      <c r="AH235" s="262"/>
      <c r="AI235" s="262"/>
      <c r="AJ235" s="262"/>
      <c r="AK235" s="262"/>
      <c r="AL235" s="262"/>
      <c r="AM235" s="262"/>
      <c r="AN235" s="262"/>
      <c r="AO235" s="262"/>
      <c r="AP235" s="262"/>
      <c r="AQ235" s="263"/>
    </row>
    <row r="236" spans="1:43" s="261" customFormat="1" ht="15.75" x14ac:dyDescent="0.25">
      <c r="A236" s="163">
        <v>151</v>
      </c>
      <c r="B236" s="248" t="s">
        <v>440</v>
      </c>
      <c r="C236" s="248"/>
      <c r="D236" s="248"/>
      <c r="E236" s="248"/>
      <c r="F236" s="248"/>
      <c r="G236" s="248"/>
      <c r="H236" s="248"/>
      <c r="I236" s="248"/>
      <c r="J236" s="248" t="s">
        <v>376</v>
      </c>
      <c r="K236" s="243">
        <f>SUMIFS($AI$4:$AI$48,$V$4:$V$48,"",$X$4:$X$48,"Матова фарба + патина+матовий лак (відкрита пора)",$F$4:$F$48,19,$H$4:$H$48,1)</f>
        <v>0</v>
      </c>
      <c r="L236" s="256"/>
      <c r="M236" s="257">
        <f>Прайс!$F$89</f>
        <v>7740</v>
      </c>
      <c r="N236" s="245">
        <f t="shared" si="4"/>
        <v>0</v>
      </c>
      <c r="O236" s="256"/>
      <c r="P236" s="252"/>
      <c r="Q236" s="252"/>
      <c r="R236" s="248"/>
      <c r="S236" s="258"/>
      <c r="T236" s="259"/>
      <c r="U236" s="260"/>
      <c r="V236" s="260"/>
      <c r="AG236" s="262"/>
      <c r="AH236" s="262"/>
      <c r="AI236" s="262"/>
      <c r="AJ236" s="262"/>
      <c r="AK236" s="262"/>
      <c r="AL236" s="262"/>
      <c r="AM236" s="262"/>
      <c r="AN236" s="262"/>
      <c r="AO236" s="262"/>
      <c r="AP236" s="262"/>
      <c r="AQ236" s="263"/>
    </row>
    <row r="237" spans="1:43" s="261" customFormat="1" ht="15.75" x14ac:dyDescent="0.25">
      <c r="A237" s="163">
        <v>152</v>
      </c>
      <c r="B237" s="248" t="s">
        <v>441</v>
      </c>
      <c r="C237" s="248"/>
      <c r="D237" s="248"/>
      <c r="E237" s="248"/>
      <c r="F237" s="248"/>
      <c r="G237" s="248"/>
      <c r="H237" s="248"/>
      <c r="I237" s="248"/>
      <c r="J237" s="248" t="s">
        <v>376</v>
      </c>
      <c r="K237" s="243">
        <f>SUMIFS($AI$4:$AI$48,$V$4:$V$48,"",$X$4:$X$48,"Матова фарба + патина+матовий лак (відкрита пора)",$F$4:$F$48,19,$H$4:$H$48,2)</f>
        <v>0</v>
      </c>
      <c r="L237" s="256"/>
      <c r="M237" s="257">
        <f>Прайс!$G$89</f>
        <v>9090</v>
      </c>
      <c r="N237" s="245">
        <f t="shared" si="4"/>
        <v>0</v>
      </c>
      <c r="O237" s="256"/>
      <c r="P237" s="252"/>
      <c r="Q237" s="252"/>
      <c r="R237" s="248"/>
      <c r="S237" s="258"/>
      <c r="T237" s="259"/>
      <c r="U237" s="260"/>
      <c r="V237" s="260"/>
      <c r="AG237" s="262"/>
      <c r="AH237" s="262"/>
      <c r="AI237" s="262"/>
      <c r="AJ237" s="262"/>
      <c r="AK237" s="262"/>
      <c r="AL237" s="262"/>
      <c r="AM237" s="262"/>
      <c r="AN237" s="262"/>
      <c r="AO237" s="262"/>
      <c r="AP237" s="262"/>
      <c r="AQ237" s="263"/>
    </row>
    <row r="238" spans="1:43" s="261" customFormat="1" ht="15.75" x14ac:dyDescent="0.25">
      <c r="A238" s="163">
        <v>153</v>
      </c>
      <c r="B238" s="341" t="s">
        <v>723</v>
      </c>
      <c r="C238" s="248"/>
      <c r="D238" s="248"/>
      <c r="E238" s="248"/>
      <c r="F238" s="248"/>
      <c r="G238" s="248"/>
      <c r="H238" s="248"/>
      <c r="I238" s="248"/>
      <c r="J238" s="248" t="s">
        <v>376</v>
      </c>
      <c r="K238" s="243">
        <f>SUMIFS($AI$4:$AI$48,$V$4:$V$48,"",$X$4:$X$48,"Матова фарба + патина+матовий лак (відкрита пора)",$F$4:$F$48,22,$H$4:$H$48,1)</f>
        <v>0</v>
      </c>
      <c r="L238" s="256"/>
      <c r="M238" s="257">
        <f>Прайс!$F$89+700</f>
        <v>8440</v>
      </c>
      <c r="N238" s="245">
        <f t="shared" si="4"/>
        <v>0</v>
      </c>
      <c r="O238" s="256"/>
      <c r="P238" s="252"/>
      <c r="Q238" s="252"/>
      <c r="R238" s="248"/>
      <c r="S238" s="258"/>
      <c r="T238" s="259"/>
      <c r="U238" s="260"/>
      <c r="V238" s="260"/>
      <c r="AG238" s="262"/>
      <c r="AH238" s="262"/>
      <c r="AI238" s="262"/>
      <c r="AJ238" s="262"/>
      <c r="AK238" s="262"/>
      <c r="AL238" s="262"/>
      <c r="AM238" s="262"/>
      <c r="AN238" s="262"/>
      <c r="AO238" s="262"/>
      <c r="AP238" s="262"/>
      <c r="AQ238" s="263"/>
    </row>
    <row r="239" spans="1:43" s="261" customFormat="1" ht="15.75" x14ac:dyDescent="0.25">
      <c r="A239" s="163">
        <v>154</v>
      </c>
      <c r="B239" s="341" t="s">
        <v>724</v>
      </c>
      <c r="C239" s="248"/>
      <c r="D239" s="248"/>
      <c r="E239" s="248"/>
      <c r="F239" s="248"/>
      <c r="G239" s="248"/>
      <c r="H239" s="248"/>
      <c r="I239" s="248"/>
      <c r="J239" s="248" t="s">
        <v>376</v>
      </c>
      <c r="K239" s="243">
        <f>SUMIFS($AI$4:$AI$48,$V$4:$V$48,"",$X$4:$X$48,"Матова фарба + патина+матовий лак (відкрита пора)",$F$4:$F$48,22,$H$4:$H$48,2)</f>
        <v>0</v>
      </c>
      <c r="L239" s="256"/>
      <c r="M239" s="257">
        <f>Прайс!$G$89+700</f>
        <v>9790</v>
      </c>
      <c r="N239" s="245">
        <f t="shared" si="4"/>
        <v>0</v>
      </c>
      <c r="O239" s="256"/>
      <c r="P239" s="252"/>
      <c r="Q239" s="252"/>
      <c r="R239" s="248"/>
      <c r="S239" s="258"/>
      <c r="T239" s="259"/>
      <c r="U239" s="260"/>
      <c r="V239" s="260"/>
      <c r="AG239" s="262"/>
      <c r="AH239" s="262"/>
      <c r="AI239" s="262"/>
      <c r="AJ239" s="262"/>
      <c r="AK239" s="262"/>
      <c r="AL239" s="262"/>
      <c r="AM239" s="262"/>
      <c r="AN239" s="262"/>
      <c r="AO239" s="262"/>
      <c r="AP239" s="262"/>
      <c r="AQ239" s="263"/>
    </row>
    <row r="240" spans="1:43" s="261" customFormat="1" ht="15.75" x14ac:dyDescent="0.25">
      <c r="A240" s="163">
        <v>155</v>
      </c>
      <c r="B240" s="248" t="s">
        <v>442</v>
      </c>
      <c r="C240" s="248"/>
      <c r="D240" s="248"/>
      <c r="E240" s="248"/>
      <c r="F240" s="248"/>
      <c r="G240" s="248"/>
      <c r="H240" s="248"/>
      <c r="I240" s="248"/>
      <c r="J240" s="248" t="s">
        <v>376</v>
      </c>
      <c r="K240" s="246">
        <f>SUMIFS($AI$4:$AI$48,$Y$4:$Y$48,"Матова фарба + патина+матовий лак (відкрита пора)",$AB$4:$AB$48,"&gt;0",$H$4:$H$48,1)</f>
        <v>0</v>
      </c>
      <c r="L240" s="256"/>
      <c r="M240" s="257">
        <f>Прайс!$D$89*0.5</f>
        <v>3835</v>
      </c>
      <c r="N240" s="245">
        <f t="shared" si="4"/>
        <v>0</v>
      </c>
      <c r="O240" s="256"/>
      <c r="P240" s="252"/>
      <c r="Q240" s="252"/>
      <c r="R240" s="248"/>
      <c r="S240" s="258"/>
      <c r="T240" s="259"/>
      <c r="U240" s="260"/>
      <c r="V240" s="260"/>
      <c r="AG240" s="262"/>
      <c r="AH240" s="262"/>
      <c r="AI240" s="262"/>
      <c r="AJ240" s="262"/>
      <c r="AK240" s="262"/>
      <c r="AL240" s="262"/>
      <c r="AM240" s="262"/>
      <c r="AN240" s="262"/>
      <c r="AO240" s="262"/>
      <c r="AP240" s="262"/>
      <c r="AQ240" s="263"/>
    </row>
    <row r="241" spans="1:43" s="261" customFormat="1" ht="15.75" x14ac:dyDescent="0.25">
      <c r="A241" s="163">
        <v>156</v>
      </c>
      <c r="B241" s="248" t="s">
        <v>443</v>
      </c>
      <c r="C241" s="248"/>
      <c r="D241" s="248"/>
      <c r="E241" s="248"/>
      <c r="F241" s="248"/>
      <c r="G241" s="248"/>
      <c r="H241" s="248"/>
      <c r="I241" s="248"/>
      <c r="J241" s="248" t="s">
        <v>376</v>
      </c>
      <c r="K241" s="246">
        <f>SUMIFS($AI$4:$AI$48,$Y$4:$Y$48,"Матова фарба + патина+матовий лак (відкрита пора)",$AB$4:$AB$48,"&gt;0",$H$4:$H$48,2)</f>
        <v>0</v>
      </c>
      <c r="L241" s="256"/>
      <c r="M241" s="257">
        <f>Прайс!$E$89*0.5</f>
        <v>4510</v>
      </c>
      <c r="N241" s="245">
        <f t="shared" si="4"/>
        <v>0</v>
      </c>
      <c r="O241" s="256"/>
      <c r="P241" s="252"/>
      <c r="Q241" s="252"/>
      <c r="R241" s="248"/>
      <c r="S241" s="258"/>
      <c r="T241" s="259"/>
      <c r="U241" s="260"/>
      <c r="V241" s="260"/>
      <c r="AG241" s="262"/>
      <c r="AH241" s="262"/>
      <c r="AI241" s="262"/>
      <c r="AJ241" s="262"/>
      <c r="AK241" s="262"/>
      <c r="AL241" s="262"/>
      <c r="AM241" s="262"/>
      <c r="AN241" s="262"/>
      <c r="AO241" s="262"/>
      <c r="AP241" s="262"/>
      <c r="AQ241" s="263"/>
    </row>
    <row r="242" spans="1:43" ht="15.75" x14ac:dyDescent="0.25">
      <c r="A242" s="163">
        <v>157</v>
      </c>
      <c r="B242" s="233" t="s">
        <v>444</v>
      </c>
      <c r="C242" s="233"/>
      <c r="D242" s="233"/>
      <c r="E242" s="233"/>
      <c r="F242" s="233"/>
      <c r="G242" s="233"/>
      <c r="H242" s="233"/>
      <c r="I242" s="233"/>
      <c r="J242" s="233" t="s">
        <v>376</v>
      </c>
      <c r="K242" s="243">
        <f>SUMIFS($AI$4:$AI$48,$V$4:$V$48,"",$X$4:$X$48,"Матова фарба відкрита пора",$F$4:$F$48,16,$H$4:$H$48,1)</f>
        <v>0</v>
      </c>
      <c r="L242" s="254"/>
      <c r="M242" s="255">
        <f>Прайс!$D$91</f>
        <v>6010</v>
      </c>
      <c r="N242" s="245">
        <f t="shared" si="4"/>
        <v>0</v>
      </c>
      <c r="O242" s="254"/>
      <c r="P242" s="234"/>
      <c r="Q242" s="234"/>
      <c r="R242" s="233"/>
      <c r="S242" s="204"/>
      <c r="T242" s="205"/>
      <c r="U242" s="235"/>
      <c r="V242" s="235"/>
      <c r="AG242" s="236"/>
      <c r="AH242" s="236"/>
      <c r="AI242" s="236"/>
      <c r="AJ242" s="236"/>
      <c r="AK242" s="236"/>
      <c r="AL242" s="236"/>
      <c r="AM242" s="236"/>
      <c r="AN242" s="236"/>
      <c r="AO242" s="236"/>
      <c r="AP242" s="236"/>
      <c r="AQ242" s="237"/>
    </row>
    <row r="243" spans="1:43" ht="15.75" x14ac:dyDescent="0.25">
      <c r="A243" s="163">
        <v>158</v>
      </c>
      <c r="B243" s="233" t="s">
        <v>445</v>
      </c>
      <c r="C243" s="233"/>
      <c r="D243" s="233"/>
      <c r="E243" s="233"/>
      <c r="F243" s="233"/>
      <c r="G243" s="233"/>
      <c r="H243" s="233"/>
      <c r="I243" s="233"/>
      <c r="J243" s="233" t="s">
        <v>376</v>
      </c>
      <c r="K243" s="243">
        <f>SUMIFS($AI$4:$AI$48,$V$4:$V$48,"",$X$4:$X$48,"Матова фарба відкрита пора",$F$4:$F$48,16,$H$4:$H$48,2)</f>
        <v>0</v>
      </c>
      <c r="L243" s="254"/>
      <c r="M243" s="255">
        <f>Прайс!$E$91</f>
        <v>7360</v>
      </c>
      <c r="N243" s="245">
        <f t="shared" si="4"/>
        <v>0</v>
      </c>
      <c r="O243" s="254"/>
      <c r="P243" s="234"/>
      <c r="Q243" s="234"/>
      <c r="R243" s="233"/>
      <c r="S243" s="204"/>
      <c r="T243" s="205"/>
      <c r="U243" s="235"/>
      <c r="V243" s="235"/>
      <c r="AG243" s="236"/>
      <c r="AH243" s="236"/>
      <c r="AI243" s="236"/>
      <c r="AJ243" s="236"/>
      <c r="AK243" s="236"/>
      <c r="AL243" s="236"/>
      <c r="AM243" s="236"/>
      <c r="AN243" s="236"/>
      <c r="AO243" s="236"/>
      <c r="AP243" s="236"/>
      <c r="AQ243" s="237"/>
    </row>
    <row r="244" spans="1:43" ht="15.75" x14ac:dyDescent="0.25">
      <c r="A244" s="163">
        <v>159</v>
      </c>
      <c r="B244" s="233" t="s">
        <v>446</v>
      </c>
      <c r="C244" s="233"/>
      <c r="D244" s="233"/>
      <c r="E244" s="233"/>
      <c r="F244" s="233"/>
      <c r="G244" s="233"/>
      <c r="H244" s="233"/>
      <c r="I244" s="233"/>
      <c r="J244" s="233" t="s">
        <v>376</v>
      </c>
      <c r="K244" s="243">
        <f>SUMIFS($AI$4:$AI$48,$V$4:$V$48,"",$X$4:$X$48,"Матова фарба відкрита пора",$F$4:$F$48,19,$H$4:$H$48,1)</f>
        <v>0</v>
      </c>
      <c r="L244" s="254"/>
      <c r="M244" s="255">
        <f>Прайс!$F$91</f>
        <v>6080</v>
      </c>
      <c r="N244" s="245">
        <f t="shared" si="4"/>
        <v>0</v>
      </c>
      <c r="O244" s="254"/>
      <c r="P244" s="234"/>
      <c r="Q244" s="234"/>
      <c r="R244" s="233"/>
      <c r="S244" s="204"/>
      <c r="T244" s="205"/>
      <c r="U244" s="235"/>
      <c r="V244" s="235"/>
      <c r="AG244" s="236"/>
      <c r="AH244" s="236"/>
      <c r="AI244" s="236"/>
      <c r="AJ244" s="236"/>
      <c r="AK244" s="236"/>
      <c r="AL244" s="236"/>
      <c r="AM244" s="236"/>
      <c r="AN244" s="236"/>
      <c r="AO244" s="236"/>
      <c r="AP244" s="236"/>
      <c r="AQ244" s="237"/>
    </row>
    <row r="245" spans="1:43" ht="15.75" x14ac:dyDescent="0.25">
      <c r="A245" s="163">
        <v>160</v>
      </c>
      <c r="B245" s="233" t="s">
        <v>447</v>
      </c>
      <c r="C245" s="233"/>
      <c r="D245" s="233"/>
      <c r="E245" s="233"/>
      <c r="F245" s="233"/>
      <c r="G245" s="233"/>
      <c r="H245" s="233"/>
      <c r="I245" s="233"/>
      <c r="J245" s="233" t="s">
        <v>376</v>
      </c>
      <c r="K245" s="243">
        <f>SUMIFS($AI$4:$AI$48,$V$4:$V$48,"",$X$4:$X$48,"Матова фарба відкрита пора",$F$4:$F$48,19,$H$4:$H$48,2)</f>
        <v>0</v>
      </c>
      <c r="L245" s="254"/>
      <c r="M245" s="255">
        <f>Прайс!$G$91</f>
        <v>7430</v>
      </c>
      <c r="N245" s="245">
        <f t="shared" si="4"/>
        <v>0</v>
      </c>
      <c r="O245" s="254"/>
      <c r="P245" s="234"/>
      <c r="Q245" s="234"/>
      <c r="R245" s="233"/>
      <c r="S245" s="204"/>
      <c r="T245" s="205"/>
      <c r="U245" s="235"/>
      <c r="V245" s="235"/>
      <c r="AG245" s="236"/>
      <c r="AH245" s="236"/>
      <c r="AI245" s="236"/>
      <c r="AJ245" s="236"/>
      <c r="AK245" s="236"/>
      <c r="AL245" s="236"/>
      <c r="AM245" s="236"/>
      <c r="AN245" s="236"/>
      <c r="AO245" s="236"/>
      <c r="AP245" s="236"/>
      <c r="AQ245" s="237"/>
    </row>
    <row r="246" spans="1:43" ht="15.75" x14ac:dyDescent="0.25">
      <c r="A246" s="163">
        <v>161</v>
      </c>
      <c r="B246" s="341" t="s">
        <v>725</v>
      </c>
      <c r="C246" s="233"/>
      <c r="D246" s="233"/>
      <c r="E246" s="233"/>
      <c r="F246" s="233"/>
      <c r="G246" s="233"/>
      <c r="H246" s="233"/>
      <c r="I246" s="233"/>
      <c r="J246" s="233" t="s">
        <v>376</v>
      </c>
      <c r="K246" s="243">
        <f>SUMIFS($AI$4:$AI$48,$V$4:$V$48,"",$X$4:$X$48,"Матова фарба відкрита пора",$F$4:$F$48,22,$H$4:$H$48,1)</f>
        <v>0</v>
      </c>
      <c r="L246" s="254"/>
      <c r="M246" s="255">
        <f>Прайс!$F$91+700</f>
        <v>6780</v>
      </c>
      <c r="N246" s="245">
        <f t="shared" si="4"/>
        <v>0</v>
      </c>
      <c r="O246" s="254"/>
      <c r="P246" s="234"/>
      <c r="Q246" s="234"/>
      <c r="R246" s="233"/>
      <c r="S246" s="204"/>
      <c r="T246" s="205"/>
      <c r="U246" s="235"/>
      <c r="V246" s="235"/>
      <c r="AG246" s="236"/>
      <c r="AH246" s="236"/>
      <c r="AI246" s="236"/>
      <c r="AJ246" s="236"/>
      <c r="AK246" s="236"/>
      <c r="AL246" s="236"/>
      <c r="AM246" s="236"/>
      <c r="AN246" s="236"/>
      <c r="AO246" s="236"/>
      <c r="AP246" s="236"/>
      <c r="AQ246" s="237"/>
    </row>
    <row r="247" spans="1:43" ht="15.75" x14ac:dyDescent="0.25">
      <c r="A247" s="163">
        <v>162</v>
      </c>
      <c r="B247" s="341" t="s">
        <v>726</v>
      </c>
      <c r="C247" s="233"/>
      <c r="D247" s="233"/>
      <c r="E247" s="233"/>
      <c r="F247" s="233"/>
      <c r="G247" s="233"/>
      <c r="H247" s="233"/>
      <c r="I247" s="233"/>
      <c r="J247" s="233" t="s">
        <v>376</v>
      </c>
      <c r="K247" s="243">
        <f>SUMIFS($AI$4:$AI$48,$V$4:$V$48,"",$X$4:$X$48,"Матова фарба відкрита пора",$F$4:$F$48,22,$H$4:$H$48,2)</f>
        <v>0</v>
      </c>
      <c r="L247" s="254"/>
      <c r="M247" s="255">
        <f>Прайс!$G$91+700</f>
        <v>8130</v>
      </c>
      <c r="N247" s="245">
        <f t="shared" si="4"/>
        <v>0</v>
      </c>
      <c r="O247" s="254"/>
      <c r="P247" s="234"/>
      <c r="Q247" s="234"/>
      <c r="R247" s="233"/>
      <c r="S247" s="204"/>
      <c r="T247" s="205"/>
      <c r="U247" s="235"/>
      <c r="V247" s="235"/>
      <c r="AG247" s="236"/>
      <c r="AH247" s="236"/>
      <c r="AI247" s="236"/>
      <c r="AJ247" s="236"/>
      <c r="AK247" s="236"/>
      <c r="AL247" s="236"/>
      <c r="AM247" s="236"/>
      <c r="AN247" s="236"/>
      <c r="AO247" s="236"/>
      <c r="AP247" s="236"/>
      <c r="AQ247" s="237"/>
    </row>
    <row r="248" spans="1:43" ht="15.75" x14ac:dyDescent="0.25">
      <c r="A248" s="163">
        <v>163</v>
      </c>
      <c r="B248" s="233" t="s">
        <v>448</v>
      </c>
      <c r="C248" s="233"/>
      <c r="D248" s="233"/>
      <c r="E248" s="233"/>
      <c r="F248" s="233"/>
      <c r="G248" s="233"/>
      <c r="H248" s="233"/>
      <c r="I248" s="233"/>
      <c r="J248" s="233" t="s">
        <v>376</v>
      </c>
      <c r="K248" s="246">
        <f>SUMIFS($AI$4:$AI$48,$Y$4:$Y$48,"Матова фарба відкрита пора",$AB$4:$AB$48,"&gt;0",$H$4:$H$48,1)</f>
        <v>0</v>
      </c>
      <c r="L248" s="254"/>
      <c r="M248" s="255">
        <f>Прайс!$D$91*0.5</f>
        <v>3005</v>
      </c>
      <c r="N248" s="245">
        <f t="shared" si="4"/>
        <v>0</v>
      </c>
      <c r="O248" s="254"/>
      <c r="P248" s="234"/>
      <c r="Q248" s="234"/>
      <c r="R248" s="233"/>
      <c r="S248" s="204"/>
      <c r="T248" s="205"/>
      <c r="U248" s="235"/>
      <c r="V248" s="235"/>
      <c r="AG248" s="236"/>
      <c r="AH248" s="236"/>
      <c r="AI248" s="236"/>
      <c r="AJ248" s="236"/>
      <c r="AK248" s="236"/>
      <c r="AL248" s="236"/>
      <c r="AM248" s="236"/>
      <c r="AN248" s="236"/>
      <c r="AO248" s="236"/>
      <c r="AP248" s="236"/>
      <c r="AQ248" s="237"/>
    </row>
    <row r="249" spans="1:43" ht="15.75" x14ac:dyDescent="0.25">
      <c r="A249" s="163">
        <v>164</v>
      </c>
      <c r="B249" s="233" t="s">
        <v>449</v>
      </c>
      <c r="C249" s="233"/>
      <c r="D249" s="233"/>
      <c r="E249" s="233"/>
      <c r="F249" s="233"/>
      <c r="G249" s="233"/>
      <c r="H249" s="233"/>
      <c r="I249" s="233"/>
      <c r="J249" s="233" t="s">
        <v>376</v>
      </c>
      <c r="K249" s="246">
        <f>SUMIFS($AI$4:$AI$48,$Y$4:$Y$48,"Матова фарба відкрита пора",$AB$4:$AB$48,"&gt;0",$H$4:$H$48,2)</f>
        <v>0</v>
      </c>
      <c r="L249" s="254"/>
      <c r="M249" s="255">
        <f>Прайс!$E$91*0.5</f>
        <v>3680</v>
      </c>
      <c r="N249" s="245">
        <f t="shared" si="4"/>
        <v>0</v>
      </c>
      <c r="O249" s="254"/>
      <c r="P249" s="234"/>
      <c r="Q249" s="234"/>
      <c r="R249" s="233"/>
      <c r="S249" s="204"/>
      <c r="T249" s="205"/>
      <c r="U249" s="235"/>
      <c r="V249" s="235"/>
      <c r="AG249" s="236"/>
      <c r="AH249" s="236"/>
      <c r="AI249" s="236"/>
      <c r="AJ249" s="236"/>
      <c r="AK249" s="236"/>
      <c r="AL249" s="236"/>
      <c r="AM249" s="236"/>
      <c r="AN249" s="236"/>
      <c r="AO249" s="236"/>
      <c r="AP249" s="236"/>
      <c r="AQ249" s="237"/>
    </row>
    <row r="250" spans="1:43" s="261" customFormat="1" ht="15.75" x14ac:dyDescent="0.25">
      <c r="A250" s="163">
        <v>165</v>
      </c>
      <c r="B250" s="248" t="s">
        <v>533</v>
      </c>
      <c r="C250" s="248"/>
      <c r="D250" s="248"/>
      <c r="E250" s="248"/>
      <c r="F250" s="248"/>
      <c r="G250" s="248"/>
      <c r="H250" s="248"/>
      <c r="I250" s="248"/>
      <c r="J250" s="248" t="s">
        <v>376</v>
      </c>
      <c r="K250" s="243">
        <f>SUMIFS($AI$4:$AI$48,$V$4:$V$48,"",$X$4:$X$48,"Тонування+патина+матовий лак (відкрита пора)",$F$4:$F$48,16,$H$4:$H$48,1)</f>
        <v>0</v>
      </c>
      <c r="L250" s="256"/>
      <c r="M250" s="257">
        <f>Прайс!$D$92</f>
        <v>6460</v>
      </c>
      <c r="N250" s="245">
        <f t="shared" si="4"/>
        <v>0</v>
      </c>
      <c r="O250" s="256"/>
      <c r="P250" s="252"/>
      <c r="Q250" s="252"/>
      <c r="R250" s="248"/>
      <c r="S250" s="258"/>
      <c r="T250" s="259"/>
      <c r="U250" s="260"/>
      <c r="V250" s="260"/>
      <c r="AG250" s="262"/>
      <c r="AH250" s="262"/>
      <c r="AI250" s="262"/>
      <c r="AJ250" s="262"/>
      <c r="AK250" s="262"/>
      <c r="AL250" s="262"/>
      <c r="AM250" s="262"/>
      <c r="AN250" s="262"/>
      <c r="AO250" s="262"/>
      <c r="AP250" s="262"/>
      <c r="AQ250" s="263"/>
    </row>
    <row r="251" spans="1:43" s="261" customFormat="1" ht="15.75" x14ac:dyDescent="0.25">
      <c r="A251" s="163">
        <v>166</v>
      </c>
      <c r="B251" s="248" t="s">
        <v>534</v>
      </c>
      <c r="C251" s="248"/>
      <c r="D251" s="248"/>
      <c r="E251" s="248"/>
      <c r="F251" s="248"/>
      <c r="G251" s="248"/>
      <c r="H251" s="248"/>
      <c r="I251" s="248"/>
      <c r="J251" s="248" t="s">
        <v>376</v>
      </c>
      <c r="K251" s="243">
        <f>SUMIFS($AI$4:$AI$48,$V$4:$V$48,"",$X$4:$X$48,"Тонування+патина+матовий лак (відкрита пора)",$F$4:$F$48,16,$H$4:$H$48,2)</f>
        <v>0</v>
      </c>
      <c r="L251" s="256"/>
      <c r="M251" s="257">
        <f>Прайс!$E$92</f>
        <v>7810</v>
      </c>
      <c r="N251" s="245">
        <f t="shared" si="4"/>
        <v>0</v>
      </c>
      <c r="O251" s="256"/>
      <c r="P251" s="252"/>
      <c r="Q251" s="252"/>
      <c r="R251" s="248"/>
      <c r="S251" s="258"/>
      <c r="T251" s="259"/>
      <c r="U251" s="260"/>
      <c r="V251" s="260"/>
      <c r="AG251" s="262"/>
      <c r="AH251" s="262"/>
      <c r="AI251" s="262"/>
      <c r="AJ251" s="262"/>
      <c r="AK251" s="262"/>
      <c r="AL251" s="262"/>
      <c r="AM251" s="262"/>
      <c r="AN251" s="262"/>
      <c r="AO251" s="262"/>
      <c r="AP251" s="262"/>
      <c r="AQ251" s="263"/>
    </row>
    <row r="252" spans="1:43" s="261" customFormat="1" ht="15.75" x14ac:dyDescent="0.25">
      <c r="A252" s="163">
        <v>167</v>
      </c>
      <c r="B252" s="248" t="s">
        <v>535</v>
      </c>
      <c r="C252" s="248"/>
      <c r="D252" s="248"/>
      <c r="E252" s="248"/>
      <c r="F252" s="248"/>
      <c r="G252" s="248"/>
      <c r="H252" s="248"/>
      <c r="I252" s="248"/>
      <c r="J252" s="248" t="s">
        <v>376</v>
      </c>
      <c r="K252" s="243">
        <f>SUMIFS($AI$4:$AI$48,$V$4:$V$48,"",$X$4:$X$48,"Тонування+патина+матовий лак (відкрита пора)",$F$4:$F$48,19,$H$4:$H$48,1)</f>
        <v>0</v>
      </c>
      <c r="L252" s="256"/>
      <c r="M252" s="257">
        <f>Прайс!$F$92</f>
        <v>6530</v>
      </c>
      <c r="N252" s="245">
        <f t="shared" si="4"/>
        <v>0</v>
      </c>
      <c r="O252" s="256"/>
      <c r="P252" s="252"/>
      <c r="Q252" s="252"/>
      <c r="R252" s="248"/>
      <c r="S252" s="258"/>
      <c r="T252" s="259"/>
      <c r="U252" s="260"/>
      <c r="V252" s="260"/>
      <c r="AG252" s="262"/>
      <c r="AH252" s="262"/>
      <c r="AI252" s="262"/>
      <c r="AJ252" s="262"/>
      <c r="AK252" s="262"/>
      <c r="AL252" s="262"/>
      <c r="AM252" s="262"/>
      <c r="AN252" s="262"/>
      <c r="AO252" s="262"/>
      <c r="AP252" s="262"/>
      <c r="AQ252" s="263"/>
    </row>
    <row r="253" spans="1:43" s="261" customFormat="1" ht="15.75" x14ac:dyDescent="0.25">
      <c r="A253" s="163">
        <v>168</v>
      </c>
      <c r="B253" s="248" t="s">
        <v>536</v>
      </c>
      <c r="C253" s="248"/>
      <c r="D253" s="248"/>
      <c r="E253" s="248"/>
      <c r="F253" s="248"/>
      <c r="G253" s="248"/>
      <c r="H253" s="248"/>
      <c r="I253" s="248"/>
      <c r="J253" s="248" t="s">
        <v>376</v>
      </c>
      <c r="K253" s="243">
        <f>SUMIFS($AI$4:$AI$48,$V$4:$V$48,"",$X$4:$X$48,"Тонування+патина+матовий лак (відкрита пора)",$F$4:$F$48,19,$H$4:$H$48,2)</f>
        <v>0</v>
      </c>
      <c r="L253" s="256"/>
      <c r="M253" s="257">
        <f>Прайс!$G$92</f>
        <v>7880</v>
      </c>
      <c r="N253" s="245">
        <f t="shared" ref="N253:N315" si="5">K253*M253</f>
        <v>0</v>
      </c>
      <c r="O253" s="256"/>
      <c r="P253" s="252"/>
      <c r="Q253" s="252"/>
      <c r="R253" s="248"/>
      <c r="S253" s="258"/>
      <c r="T253" s="259"/>
      <c r="U253" s="260"/>
      <c r="V253" s="260"/>
      <c r="AG253" s="262"/>
      <c r="AH253" s="262"/>
      <c r="AI253" s="262"/>
      <c r="AJ253" s="262"/>
      <c r="AK253" s="262"/>
      <c r="AL253" s="262"/>
      <c r="AM253" s="262"/>
      <c r="AN253" s="262"/>
      <c r="AO253" s="262"/>
      <c r="AP253" s="262"/>
      <c r="AQ253" s="263"/>
    </row>
    <row r="254" spans="1:43" s="261" customFormat="1" ht="15.75" x14ac:dyDescent="0.25">
      <c r="A254" s="163">
        <v>169</v>
      </c>
      <c r="B254" s="341" t="s">
        <v>727</v>
      </c>
      <c r="C254" s="248"/>
      <c r="D254" s="248"/>
      <c r="E254" s="248"/>
      <c r="F254" s="248"/>
      <c r="G254" s="248"/>
      <c r="H254" s="248"/>
      <c r="I254" s="248"/>
      <c r="J254" s="248" t="s">
        <v>376</v>
      </c>
      <c r="K254" s="243">
        <f>SUMIFS($AI$4:$AI$48,$V$4:$V$48,"",$X$4:$X$48,"Тонування+патина+матовий лак (відкрита пора)",$F$4:$F$48,22,$H$4:$H$48,1)</f>
        <v>0</v>
      </c>
      <c r="L254" s="256"/>
      <c r="M254" s="257">
        <f>Прайс!$F$92+700</f>
        <v>7230</v>
      </c>
      <c r="N254" s="245">
        <f t="shared" si="5"/>
        <v>0</v>
      </c>
      <c r="O254" s="256"/>
      <c r="P254" s="252"/>
      <c r="Q254" s="252"/>
      <c r="R254" s="248"/>
      <c r="S254" s="258"/>
      <c r="T254" s="259"/>
      <c r="U254" s="260"/>
      <c r="V254" s="260"/>
      <c r="AG254" s="262"/>
      <c r="AH254" s="262"/>
      <c r="AI254" s="262"/>
      <c r="AJ254" s="262"/>
      <c r="AK254" s="262"/>
      <c r="AL254" s="262"/>
      <c r="AM254" s="262"/>
      <c r="AN254" s="262"/>
      <c r="AO254" s="262"/>
      <c r="AP254" s="262"/>
      <c r="AQ254" s="263"/>
    </row>
    <row r="255" spans="1:43" s="261" customFormat="1" ht="15.75" x14ac:dyDescent="0.25">
      <c r="A255" s="163">
        <v>170</v>
      </c>
      <c r="B255" s="341" t="s">
        <v>728</v>
      </c>
      <c r="C255" s="248"/>
      <c r="D255" s="248"/>
      <c r="E255" s="248"/>
      <c r="F255" s="248"/>
      <c r="G255" s="248"/>
      <c r="H255" s="248"/>
      <c r="I255" s="248"/>
      <c r="J255" s="248" t="s">
        <v>376</v>
      </c>
      <c r="K255" s="243">
        <f>SUMIFS($AI$4:$AI$48,$V$4:$V$48,"",$X$4:$X$48,"Тонування+патина+матовий лак (відкрита пора)",$F$4:$F$48,22,$H$4:$H$48,2)</f>
        <v>0</v>
      </c>
      <c r="L255" s="256"/>
      <c r="M255" s="257">
        <f>Прайс!$G$92+700</f>
        <v>8580</v>
      </c>
      <c r="N255" s="245">
        <f t="shared" si="5"/>
        <v>0</v>
      </c>
      <c r="O255" s="256"/>
      <c r="P255" s="252"/>
      <c r="Q255" s="252"/>
      <c r="R255" s="248"/>
      <c r="S255" s="258"/>
      <c r="T255" s="259"/>
      <c r="U255" s="260"/>
      <c r="V255" s="260"/>
      <c r="AG255" s="262"/>
      <c r="AH255" s="262"/>
      <c r="AI255" s="262"/>
      <c r="AJ255" s="262"/>
      <c r="AK255" s="262"/>
      <c r="AL255" s="262"/>
      <c r="AM255" s="262"/>
      <c r="AN255" s="262"/>
      <c r="AO255" s="262"/>
      <c r="AP255" s="262"/>
      <c r="AQ255" s="263"/>
    </row>
    <row r="256" spans="1:43" s="261" customFormat="1" ht="15.75" x14ac:dyDescent="0.25">
      <c r="A256" s="163">
        <v>171</v>
      </c>
      <c r="B256" s="248" t="s">
        <v>537</v>
      </c>
      <c r="C256" s="248"/>
      <c r="D256" s="248"/>
      <c r="E256" s="248"/>
      <c r="F256" s="248"/>
      <c r="G256" s="248"/>
      <c r="H256" s="248"/>
      <c r="I256" s="248"/>
      <c r="J256" s="248" t="s">
        <v>376</v>
      </c>
      <c r="K256" s="246">
        <f>SUMIFS($AI$4:$AI$48,$Y$4:$Y$48,"Тонування+патина+матовий лак (відкрита пора)",$AB$4:$AB$48,"&gt;0",$H$4:$H$48,1)</f>
        <v>0</v>
      </c>
      <c r="L256" s="256"/>
      <c r="M256" s="257">
        <f>Прайс!$D$92*0.5</f>
        <v>3230</v>
      </c>
      <c r="N256" s="245">
        <f t="shared" si="5"/>
        <v>0</v>
      </c>
      <c r="O256" s="256"/>
      <c r="P256" s="252"/>
      <c r="Q256" s="252"/>
      <c r="R256" s="248"/>
      <c r="S256" s="258"/>
      <c r="T256" s="259"/>
      <c r="U256" s="260"/>
      <c r="V256" s="260"/>
      <c r="AG256" s="262"/>
      <c r="AH256" s="262"/>
      <c r="AI256" s="262"/>
      <c r="AJ256" s="262"/>
      <c r="AK256" s="262"/>
      <c r="AL256" s="262"/>
      <c r="AM256" s="262"/>
      <c r="AN256" s="262"/>
      <c r="AO256" s="262"/>
      <c r="AP256" s="262"/>
      <c r="AQ256" s="263"/>
    </row>
    <row r="257" spans="1:43" s="261" customFormat="1" ht="15.75" x14ac:dyDescent="0.25">
      <c r="A257" s="163">
        <v>172</v>
      </c>
      <c r="B257" s="248" t="s">
        <v>538</v>
      </c>
      <c r="C257" s="248"/>
      <c r="D257" s="248"/>
      <c r="E257" s="248"/>
      <c r="F257" s="248"/>
      <c r="G257" s="248"/>
      <c r="H257" s="248"/>
      <c r="I257" s="248"/>
      <c r="J257" s="248" t="s">
        <v>376</v>
      </c>
      <c r="K257" s="246">
        <f>SUMIFS($AI$4:$AI$48,$Y$4:$Y$48,"Тонування+патина+матовий лак (відкрита пора)",$AB$4:$AB$48,"&gt;0",$H$4:$H$48,2)</f>
        <v>0</v>
      </c>
      <c r="L257" s="256"/>
      <c r="M257" s="257">
        <f>Прайс!$E$92*0.5</f>
        <v>3905</v>
      </c>
      <c r="N257" s="245">
        <f t="shared" si="5"/>
        <v>0</v>
      </c>
      <c r="O257" s="256"/>
      <c r="P257" s="252"/>
      <c r="Q257" s="252"/>
      <c r="R257" s="248"/>
      <c r="S257" s="258"/>
      <c r="T257" s="259"/>
      <c r="U257" s="260"/>
      <c r="V257" s="260"/>
      <c r="AG257" s="262"/>
      <c r="AH257" s="262"/>
      <c r="AI257" s="262"/>
      <c r="AJ257" s="262"/>
      <c r="AK257" s="262"/>
      <c r="AL257" s="262"/>
      <c r="AM257" s="262"/>
      <c r="AN257" s="262"/>
      <c r="AO257" s="262"/>
      <c r="AP257" s="262"/>
      <c r="AQ257" s="263"/>
    </row>
    <row r="258" spans="1:43" ht="15.75" x14ac:dyDescent="0.25">
      <c r="A258" s="163">
        <v>173</v>
      </c>
      <c r="B258" s="232" t="s">
        <v>450</v>
      </c>
      <c r="C258" s="233"/>
      <c r="D258" s="233"/>
      <c r="E258" s="233"/>
      <c r="F258" s="233"/>
      <c r="G258" s="233"/>
      <c r="H258" s="233"/>
      <c r="I258" s="233"/>
      <c r="J258" s="233" t="s">
        <v>376</v>
      </c>
      <c r="K258" s="264">
        <f>SUMIFS($AI$56:$AI$60,$V$56:$V$60,"",$X$56:$X$60,"Матове",$F$56:$F$60,16,$G$56:$G$60,"гладкий")</f>
        <v>0</v>
      </c>
      <c r="L258" s="254"/>
      <c r="M258" s="255">
        <f>Прайс!$F$10</f>
        <v>4370</v>
      </c>
      <c r="N258" s="245">
        <f t="shared" si="5"/>
        <v>0</v>
      </c>
      <c r="O258" s="254"/>
      <c r="P258" s="234"/>
      <c r="Q258" s="234"/>
      <c r="R258" s="233"/>
      <c r="S258" s="204"/>
      <c r="T258" s="205"/>
      <c r="U258" s="235"/>
      <c r="V258" s="235"/>
      <c r="AG258" s="236"/>
      <c r="AH258" s="236"/>
      <c r="AI258" s="236"/>
      <c r="AJ258" s="236"/>
      <c r="AK258" s="236"/>
      <c r="AL258" s="236"/>
      <c r="AM258" s="236"/>
      <c r="AN258" s="236"/>
      <c r="AO258" s="236"/>
      <c r="AP258" s="236"/>
      <c r="AQ258" s="237"/>
    </row>
    <row r="259" spans="1:43" ht="15.75" x14ac:dyDescent="0.25">
      <c r="A259" s="163">
        <v>174</v>
      </c>
      <c r="B259" s="233" t="s">
        <v>451</v>
      </c>
      <c r="C259" s="233"/>
      <c r="D259" s="233"/>
      <c r="E259" s="233"/>
      <c r="F259" s="233"/>
      <c r="G259" s="233"/>
      <c r="H259" s="233"/>
      <c r="I259" s="233"/>
      <c r="J259" s="233" t="s">
        <v>376</v>
      </c>
      <c r="K259" s="264">
        <f>SUMIFS($AI$56:$AI$60,$V$56:$V$60,"",$X$56:$X$60,"Матове",$F$56:$F$60,19,$G$56:$G$60,"гладкий")</f>
        <v>0</v>
      </c>
      <c r="L259" s="254"/>
      <c r="M259" s="255">
        <f>Прайс!$G$10</f>
        <v>4440</v>
      </c>
      <c r="N259" s="245">
        <f t="shared" si="5"/>
        <v>0</v>
      </c>
      <c r="O259" s="254"/>
      <c r="P259" s="234"/>
      <c r="Q259" s="234"/>
      <c r="R259" s="233"/>
      <c r="S259" s="204"/>
      <c r="T259" s="205"/>
      <c r="U259" s="235"/>
      <c r="V259" s="235"/>
      <c r="AG259" s="236"/>
      <c r="AH259" s="236"/>
      <c r="AI259" s="236"/>
      <c r="AJ259" s="236"/>
      <c r="AK259" s="236"/>
      <c r="AL259" s="236"/>
      <c r="AM259" s="236"/>
      <c r="AN259" s="236"/>
      <c r="AO259" s="236"/>
      <c r="AP259" s="236"/>
      <c r="AQ259" s="237"/>
    </row>
    <row r="260" spans="1:43" ht="15.75" x14ac:dyDescent="0.25">
      <c r="A260" s="163">
        <v>175</v>
      </c>
      <c r="B260" s="233" t="s">
        <v>452</v>
      </c>
      <c r="C260" s="233"/>
      <c r="D260" s="233"/>
      <c r="E260" s="233"/>
      <c r="F260" s="233"/>
      <c r="G260" s="233"/>
      <c r="H260" s="233"/>
      <c r="I260" s="233"/>
      <c r="J260" s="233" t="s">
        <v>376</v>
      </c>
      <c r="K260" s="264">
        <f>SUMIFS($AI$56:$AI$60,$V$56:$V$60,"",$Y$56:$Y$60,"Матове",$G$56:$G$60,"гладкий")</f>
        <v>0</v>
      </c>
      <c r="L260" s="254"/>
      <c r="M260" s="255">
        <f>Прайс!$F$10-500</f>
        <v>3870</v>
      </c>
      <c r="N260" s="245">
        <f t="shared" si="5"/>
        <v>0</v>
      </c>
      <c r="O260" s="254"/>
      <c r="P260" s="234"/>
      <c r="Q260" s="234"/>
      <c r="R260" s="233"/>
      <c r="S260" s="204"/>
      <c r="T260" s="205"/>
      <c r="U260" s="235"/>
      <c r="V260" s="235"/>
      <c r="AG260" s="236"/>
      <c r="AH260" s="236"/>
      <c r="AI260" s="236"/>
      <c r="AJ260" s="236"/>
      <c r="AK260" s="236"/>
      <c r="AL260" s="236"/>
      <c r="AM260" s="236"/>
      <c r="AN260" s="236"/>
      <c r="AO260" s="236"/>
      <c r="AP260" s="236"/>
      <c r="AQ260" s="237"/>
    </row>
    <row r="261" spans="1:43" s="261" customFormat="1" ht="15.75" x14ac:dyDescent="0.25">
      <c r="A261" s="163">
        <v>176</v>
      </c>
      <c r="B261" s="247" t="s">
        <v>453</v>
      </c>
      <c r="C261" s="248"/>
      <c r="D261" s="248"/>
      <c r="E261" s="248"/>
      <c r="F261" s="248"/>
      <c r="G261" s="248"/>
      <c r="H261" s="248"/>
      <c r="I261" s="248"/>
      <c r="J261" s="248" t="s">
        <v>376</v>
      </c>
      <c r="K261" s="264">
        <f>SUMIFS($AI$56:$AI$60,$V$56:$V$60,"",$X$56:$X$60,"Софт(TS)",$F$56:$F$60,16,$G$56:$G$60,"гладкий")</f>
        <v>0</v>
      </c>
      <c r="L261" s="256"/>
      <c r="M261" s="257">
        <f>Прайс!$F$11</f>
        <v>4370</v>
      </c>
      <c r="N261" s="245">
        <f t="shared" si="5"/>
        <v>0</v>
      </c>
      <c r="O261" s="256"/>
      <c r="P261" s="252"/>
      <c r="Q261" s="252"/>
      <c r="R261" s="248"/>
      <c r="S261" s="258"/>
      <c r="T261" s="259"/>
      <c r="U261" s="260"/>
      <c r="V261" s="260"/>
      <c r="AG261" s="262"/>
      <c r="AH261" s="262"/>
      <c r="AI261" s="262"/>
      <c r="AJ261" s="262"/>
      <c r="AK261" s="262"/>
      <c r="AL261" s="262"/>
      <c r="AM261" s="262"/>
      <c r="AN261" s="262"/>
      <c r="AO261" s="262"/>
      <c r="AP261" s="262"/>
      <c r="AQ261" s="263"/>
    </row>
    <row r="262" spans="1:43" s="261" customFormat="1" ht="15.75" x14ac:dyDescent="0.25">
      <c r="A262" s="163">
        <v>177</v>
      </c>
      <c r="B262" s="248" t="s">
        <v>454</v>
      </c>
      <c r="C262" s="248"/>
      <c r="D262" s="248"/>
      <c r="E262" s="248"/>
      <c r="F262" s="248"/>
      <c r="G262" s="248"/>
      <c r="H262" s="248"/>
      <c r="I262" s="248"/>
      <c r="J262" s="248" t="s">
        <v>376</v>
      </c>
      <c r="K262" s="264">
        <f>SUMIFS($AI$56:$AI$60,$V$56:$V$60,"",$X$56:$X$60,"Софт(TS)",$F$56:$F$60,19,$G$56:$G$60,"гладкий")</f>
        <v>0</v>
      </c>
      <c r="L262" s="256"/>
      <c r="M262" s="257">
        <f>Прайс!$G$11</f>
        <v>4440</v>
      </c>
      <c r="N262" s="245">
        <f t="shared" si="5"/>
        <v>0</v>
      </c>
      <c r="O262" s="256"/>
      <c r="P262" s="252"/>
      <c r="Q262" s="252"/>
      <c r="R262" s="248"/>
      <c r="S262" s="258"/>
      <c r="T262" s="259"/>
      <c r="U262" s="260"/>
      <c r="V262" s="260"/>
      <c r="AG262" s="262"/>
      <c r="AH262" s="262"/>
      <c r="AI262" s="262"/>
      <c r="AJ262" s="262"/>
      <c r="AK262" s="262"/>
      <c r="AL262" s="262"/>
      <c r="AM262" s="262"/>
      <c r="AN262" s="262"/>
      <c r="AO262" s="262"/>
      <c r="AP262" s="262"/>
      <c r="AQ262" s="263"/>
    </row>
    <row r="263" spans="1:43" s="261" customFormat="1" ht="15.75" x14ac:dyDescent="0.25">
      <c r="A263" s="163">
        <v>178</v>
      </c>
      <c r="B263" s="248" t="s">
        <v>455</v>
      </c>
      <c r="C263" s="248"/>
      <c r="D263" s="248"/>
      <c r="E263" s="248"/>
      <c r="F263" s="248"/>
      <c r="G263" s="248"/>
      <c r="H263" s="248"/>
      <c r="I263" s="248"/>
      <c r="J263" s="248" t="s">
        <v>376</v>
      </c>
      <c r="K263" s="264">
        <f>SUMIFS($AI$56:$AI$60,$V$56:$V$60,"",$Y$56:$Y$60,"Софт(TS)",$G$56:$G$60,"гладкий")</f>
        <v>0</v>
      </c>
      <c r="L263" s="256"/>
      <c r="M263" s="257">
        <f>Прайс!$F$11-500</f>
        <v>3870</v>
      </c>
      <c r="N263" s="245">
        <f t="shared" si="5"/>
        <v>0</v>
      </c>
      <c r="O263" s="256"/>
      <c r="P263" s="252"/>
      <c r="Q263" s="252"/>
      <c r="R263" s="248"/>
      <c r="S263" s="258"/>
      <c r="T263" s="259"/>
      <c r="U263" s="260"/>
      <c r="V263" s="260"/>
      <c r="AG263" s="262"/>
      <c r="AH263" s="262"/>
      <c r="AI263" s="262"/>
      <c r="AJ263" s="262"/>
      <c r="AK263" s="262"/>
      <c r="AL263" s="262"/>
      <c r="AM263" s="262"/>
      <c r="AN263" s="262"/>
      <c r="AO263" s="262"/>
      <c r="AP263" s="262"/>
      <c r="AQ263" s="263"/>
    </row>
    <row r="264" spans="1:43" ht="15.75" x14ac:dyDescent="0.25">
      <c r="A264" s="163">
        <v>179</v>
      </c>
      <c r="B264" s="232" t="s">
        <v>456</v>
      </c>
      <c r="C264" s="233"/>
      <c r="D264" s="233"/>
      <c r="E264" s="233"/>
      <c r="F264" s="233"/>
      <c r="G264" s="233"/>
      <c r="H264" s="233"/>
      <c r="I264" s="233"/>
      <c r="J264" s="233" t="s">
        <v>376</v>
      </c>
      <c r="K264" s="264">
        <f>SUMIFS($AI$56:$AI$60,$V$56:$V$60,"",$X$56:$X$60,"Глянець",$F$56:$F$60,16,$G$56:$G$60,"гладкий")</f>
        <v>0</v>
      </c>
      <c r="L264" s="254"/>
      <c r="M264" s="255">
        <f>Прайс!$F$12</f>
        <v>4860</v>
      </c>
      <c r="N264" s="245">
        <f t="shared" si="5"/>
        <v>0</v>
      </c>
      <c r="O264" s="254"/>
      <c r="P264" s="234"/>
      <c r="Q264" s="234"/>
      <c r="R264" s="233"/>
      <c r="S264" s="204"/>
      <c r="T264" s="205"/>
      <c r="U264" s="235"/>
      <c r="V264" s="235"/>
      <c r="AG264" s="236"/>
      <c r="AH264" s="236"/>
      <c r="AI264" s="236"/>
      <c r="AJ264" s="236"/>
      <c r="AK264" s="236"/>
      <c r="AL264" s="236"/>
      <c r="AM264" s="236"/>
      <c r="AN264" s="236"/>
      <c r="AO264" s="236"/>
      <c r="AP264" s="236"/>
      <c r="AQ264" s="237"/>
    </row>
    <row r="265" spans="1:43" ht="15.75" x14ac:dyDescent="0.25">
      <c r="A265" s="163">
        <v>180</v>
      </c>
      <c r="B265" s="233" t="s">
        <v>457</v>
      </c>
      <c r="C265" s="233"/>
      <c r="D265" s="233"/>
      <c r="E265" s="233"/>
      <c r="F265" s="233"/>
      <c r="G265" s="233"/>
      <c r="H265" s="233"/>
      <c r="I265" s="233"/>
      <c r="J265" s="233" t="s">
        <v>376</v>
      </c>
      <c r="K265" s="264">
        <f>SUMIFS($AI$56:$AI$60,$V$56:$V$60,"",$X$56:$X$60,"Глянець",$F$56:$F$60,19,$G$56:$G$60,"гладкий")</f>
        <v>0</v>
      </c>
      <c r="L265" s="254"/>
      <c r="M265" s="255">
        <f>Прайс!$G$12</f>
        <v>4930</v>
      </c>
      <c r="N265" s="245">
        <f t="shared" si="5"/>
        <v>0</v>
      </c>
      <c r="O265" s="254"/>
      <c r="P265" s="234"/>
      <c r="Q265" s="234"/>
      <c r="R265" s="233"/>
      <c r="S265" s="204"/>
      <c r="T265" s="205"/>
      <c r="U265" s="235"/>
      <c r="V265" s="235"/>
      <c r="AG265" s="236"/>
      <c r="AH265" s="236"/>
      <c r="AI265" s="236"/>
      <c r="AJ265" s="236"/>
      <c r="AK265" s="236"/>
      <c r="AL265" s="236"/>
      <c r="AM265" s="236"/>
      <c r="AN265" s="236"/>
      <c r="AO265" s="236"/>
      <c r="AP265" s="236"/>
      <c r="AQ265" s="237"/>
    </row>
    <row r="266" spans="1:43" ht="15.75" x14ac:dyDescent="0.25">
      <c r="A266" s="163">
        <v>181</v>
      </c>
      <c r="B266" s="232" t="s">
        <v>458</v>
      </c>
      <c r="C266" s="233"/>
      <c r="D266" s="233"/>
      <c r="E266" s="233"/>
      <c r="F266" s="233"/>
      <c r="G266" s="233"/>
      <c r="H266" s="233"/>
      <c r="I266" s="233"/>
      <c r="J266" s="233" t="s">
        <v>376</v>
      </c>
      <c r="K266" s="264">
        <f>SUMIFS($AI$56:$AI$60,$V$56:$V$60,"",$Y$56:$Y$60,"Глянець",$G$56:$G$60,"гладкий")</f>
        <v>0</v>
      </c>
      <c r="L266" s="254"/>
      <c r="M266" s="255">
        <f>Прайс!$F$12-500</f>
        <v>4360</v>
      </c>
      <c r="N266" s="245">
        <f t="shared" si="5"/>
        <v>0</v>
      </c>
      <c r="O266" s="254"/>
      <c r="P266" s="234"/>
      <c r="Q266" s="234"/>
      <c r="R266" s="233"/>
      <c r="S266" s="204"/>
      <c r="T266" s="205"/>
      <c r="U266" s="235"/>
      <c r="V266" s="235"/>
      <c r="AG266" s="236"/>
      <c r="AH266" s="236"/>
      <c r="AI266" s="236"/>
      <c r="AJ266" s="236"/>
      <c r="AK266" s="236"/>
      <c r="AL266" s="236"/>
      <c r="AM266" s="236"/>
      <c r="AN266" s="236"/>
      <c r="AO266" s="236"/>
      <c r="AP266" s="236"/>
      <c r="AQ266" s="237"/>
    </row>
    <row r="267" spans="1:43" s="261" customFormat="1" ht="15.75" x14ac:dyDescent="0.25">
      <c r="A267" s="163">
        <v>182</v>
      </c>
      <c r="B267" s="248" t="s">
        <v>573</v>
      </c>
      <c r="C267" s="248"/>
      <c r="D267" s="248"/>
      <c r="E267" s="248"/>
      <c r="F267" s="248"/>
      <c r="G267" s="248"/>
      <c r="H267" s="248"/>
      <c r="I267" s="248"/>
      <c r="J267" s="248" t="s">
        <v>376</v>
      </c>
      <c r="K267" s="264">
        <f>SUMIFS($AI$56:$AI$60,$V$56:$V$60,"Перл.ср.",$F$56:$F$60,16,$G$56:$G$60,"гладкий")+SUMIFS($AI$56:$AI$60,$V$56:$V$60,"Перл.зол.",$F$56:$F$60,16,$G$56:$G$60,"гладкий")</f>
        <v>0</v>
      </c>
      <c r="L267" s="256"/>
      <c r="M267" s="257">
        <f>Прайс!$F$13</f>
        <v>5070</v>
      </c>
      <c r="N267" s="245">
        <f t="shared" si="5"/>
        <v>0</v>
      </c>
      <c r="O267" s="256"/>
      <c r="P267" s="252"/>
      <c r="Q267" s="252"/>
      <c r="R267" s="248"/>
      <c r="S267" s="258"/>
      <c r="T267" s="259"/>
      <c r="U267" s="260"/>
      <c r="V267" s="260"/>
      <c r="AG267" s="262"/>
      <c r="AH267" s="262"/>
      <c r="AI267" s="262"/>
      <c r="AJ267" s="262"/>
      <c r="AK267" s="262"/>
      <c r="AL267" s="262"/>
      <c r="AM267" s="262"/>
      <c r="AN267" s="262"/>
      <c r="AO267" s="262"/>
      <c r="AP267" s="262"/>
      <c r="AQ267" s="263"/>
    </row>
    <row r="268" spans="1:43" s="261" customFormat="1" ht="15.75" x14ac:dyDescent="0.25">
      <c r="A268" s="163">
        <v>183</v>
      </c>
      <c r="B268" s="248" t="s">
        <v>574</v>
      </c>
      <c r="C268" s="248"/>
      <c r="D268" s="248"/>
      <c r="E268" s="248"/>
      <c r="F268" s="248"/>
      <c r="G268" s="248"/>
      <c r="H268" s="248"/>
      <c r="I268" s="248"/>
      <c r="J268" s="248" t="s">
        <v>376</v>
      </c>
      <c r="K268" s="264">
        <f>SUMIFS($AI$56:$AI$60,$V$56:$V$60,"Перл.ср.",$F$56:$F$60,19,$G$56:$G$60,"гладкий")+SUMIFS($AI$56:$AI$60,$V$56:$V$60,"Перл.зол.",$F$56:$F$60,19,$G$56:$G$60,"гладкий")</f>
        <v>0</v>
      </c>
      <c r="L268" s="256"/>
      <c r="M268" s="257">
        <f>Прайс!$G$13</f>
        <v>5140</v>
      </c>
      <c r="N268" s="245">
        <f t="shared" si="5"/>
        <v>0</v>
      </c>
      <c r="O268" s="256"/>
      <c r="P268" s="252"/>
      <c r="Q268" s="252"/>
      <c r="R268" s="248"/>
      <c r="S268" s="258"/>
      <c r="T268" s="259"/>
      <c r="U268" s="260"/>
      <c r="V268" s="260"/>
      <c r="AG268" s="262"/>
      <c r="AH268" s="262"/>
      <c r="AI268" s="262"/>
      <c r="AJ268" s="262"/>
      <c r="AK268" s="262"/>
      <c r="AL268" s="262"/>
      <c r="AM268" s="262"/>
      <c r="AN268" s="262"/>
      <c r="AO268" s="262"/>
      <c r="AP268" s="262"/>
      <c r="AQ268" s="263"/>
    </row>
    <row r="269" spans="1:43" s="261" customFormat="1" ht="15.75" x14ac:dyDescent="0.25">
      <c r="A269" s="163">
        <v>184</v>
      </c>
      <c r="B269" s="248" t="s">
        <v>575</v>
      </c>
      <c r="C269" s="248"/>
      <c r="D269" s="248"/>
      <c r="E269" s="248"/>
      <c r="F269" s="248"/>
      <c r="G269" s="248"/>
      <c r="H269" s="248"/>
      <c r="I269" s="248"/>
      <c r="J269" s="248" t="s">
        <v>376</v>
      </c>
      <c r="K269" s="264"/>
      <c r="L269" s="256"/>
      <c r="M269" s="257"/>
      <c r="N269" s="245">
        <f t="shared" si="5"/>
        <v>0</v>
      </c>
      <c r="O269" s="256"/>
      <c r="P269" s="252"/>
      <c r="Q269" s="252"/>
      <c r="R269" s="248"/>
      <c r="S269" s="258"/>
      <c r="T269" s="259"/>
      <c r="U269" s="260"/>
      <c r="V269" s="260"/>
      <c r="AG269" s="262"/>
      <c r="AH269" s="262"/>
      <c r="AI269" s="262"/>
      <c r="AJ269" s="262"/>
      <c r="AK269" s="262"/>
      <c r="AL269" s="262"/>
      <c r="AM269" s="262"/>
      <c r="AN269" s="262"/>
      <c r="AO269" s="262"/>
      <c r="AP269" s="262"/>
      <c r="AQ269" s="263"/>
    </row>
    <row r="270" spans="1:43" s="288" customFormat="1" ht="15.75" x14ac:dyDescent="0.25">
      <c r="A270" s="163">
        <v>185</v>
      </c>
      <c r="B270" s="289" t="s">
        <v>576</v>
      </c>
      <c r="C270" s="289"/>
      <c r="D270" s="289"/>
      <c r="E270" s="289"/>
      <c r="F270" s="289"/>
      <c r="G270" s="289"/>
      <c r="H270" s="289"/>
      <c r="I270" s="289"/>
      <c r="J270" s="289" t="s">
        <v>376</v>
      </c>
      <c r="K270" s="264">
        <f>SUMIFS($AI$56:$AI$60,$V$56:$V$60,"Гума",$F$56:$F$60,16,$G$56:$G$60,"гладкий")</f>
        <v>0</v>
      </c>
      <c r="L270" s="290"/>
      <c r="M270" s="291">
        <f>Прайс!$F$14</f>
        <v>4930</v>
      </c>
      <c r="N270" s="245">
        <f t="shared" si="5"/>
        <v>0</v>
      </c>
      <c r="O270" s="290"/>
      <c r="P270" s="292"/>
      <c r="Q270" s="292"/>
      <c r="R270" s="289"/>
      <c r="S270" s="293"/>
      <c r="T270" s="294"/>
      <c r="U270" s="295"/>
      <c r="V270" s="295"/>
      <c r="AG270" s="296"/>
      <c r="AH270" s="296"/>
      <c r="AI270" s="296"/>
      <c r="AJ270" s="296"/>
      <c r="AK270" s="296"/>
      <c r="AL270" s="296"/>
      <c r="AM270" s="296"/>
      <c r="AN270" s="296"/>
      <c r="AO270" s="296"/>
      <c r="AP270" s="296"/>
      <c r="AQ270" s="297"/>
    </row>
    <row r="271" spans="1:43" s="288" customFormat="1" ht="15.75" x14ac:dyDescent="0.25">
      <c r="A271" s="163">
        <v>186</v>
      </c>
      <c r="B271" s="289" t="s">
        <v>577</v>
      </c>
      <c r="C271" s="289"/>
      <c r="D271" s="289"/>
      <c r="E271" s="289"/>
      <c r="F271" s="289"/>
      <c r="G271" s="289"/>
      <c r="H271" s="289"/>
      <c r="I271" s="289"/>
      <c r="J271" s="289" t="s">
        <v>376</v>
      </c>
      <c r="K271" s="264">
        <f>SUMIFS($AI$56:$AI$60,$V$56:$V$60,"Гума",$F$56:$F$60,19,$G$56:$G$60,"гладкий")</f>
        <v>0</v>
      </c>
      <c r="L271" s="290"/>
      <c r="M271" s="291">
        <f>Прайс!$G$14</f>
        <v>5000</v>
      </c>
      <c r="N271" s="245">
        <f t="shared" si="5"/>
        <v>0</v>
      </c>
      <c r="O271" s="290"/>
      <c r="P271" s="292"/>
      <c r="Q271" s="292"/>
      <c r="R271" s="289"/>
      <c r="S271" s="293"/>
      <c r="T271" s="294"/>
      <c r="U271" s="295"/>
      <c r="V271" s="295"/>
      <c r="AG271" s="296"/>
      <c r="AH271" s="296"/>
      <c r="AI271" s="296"/>
      <c r="AJ271" s="296"/>
      <c r="AK271" s="296"/>
      <c r="AL271" s="296"/>
      <c r="AM271" s="296"/>
      <c r="AN271" s="296"/>
      <c r="AO271" s="296"/>
      <c r="AP271" s="296"/>
      <c r="AQ271" s="297"/>
    </row>
    <row r="272" spans="1:43" s="288" customFormat="1" ht="15.75" x14ac:dyDescent="0.25">
      <c r="A272" s="163">
        <v>187</v>
      </c>
      <c r="B272" s="289" t="s">
        <v>578</v>
      </c>
      <c r="C272" s="289"/>
      <c r="D272" s="289"/>
      <c r="E272" s="289"/>
      <c r="F272" s="289"/>
      <c r="G272" s="289"/>
      <c r="H272" s="289"/>
      <c r="I272" s="289"/>
      <c r="J272" s="289" t="s">
        <v>376</v>
      </c>
      <c r="K272" s="264"/>
      <c r="L272" s="290"/>
      <c r="M272" s="291"/>
      <c r="N272" s="245">
        <f t="shared" si="5"/>
        <v>0</v>
      </c>
      <c r="O272" s="290"/>
      <c r="P272" s="292"/>
      <c r="Q272" s="292"/>
      <c r="R272" s="289"/>
      <c r="S272" s="293"/>
      <c r="T272" s="294"/>
      <c r="U272" s="295"/>
      <c r="V272" s="295"/>
      <c r="AG272" s="296"/>
      <c r="AH272" s="296"/>
      <c r="AI272" s="296"/>
      <c r="AJ272" s="296"/>
      <c r="AK272" s="296"/>
      <c r="AL272" s="296"/>
      <c r="AM272" s="296"/>
      <c r="AN272" s="296"/>
      <c r="AO272" s="296"/>
      <c r="AP272" s="296"/>
      <c r="AQ272" s="297"/>
    </row>
    <row r="273" spans="1:43" s="261" customFormat="1" ht="15.75" x14ac:dyDescent="0.25">
      <c r="A273" s="163">
        <v>188</v>
      </c>
      <c r="B273" s="248" t="s">
        <v>579</v>
      </c>
      <c r="C273" s="248"/>
      <c r="D273" s="248"/>
      <c r="E273" s="248"/>
      <c r="F273" s="248"/>
      <c r="G273" s="248"/>
      <c r="H273" s="248"/>
      <c r="I273" s="248"/>
      <c r="J273" s="248" t="s">
        <v>376</v>
      </c>
      <c r="K273" s="264">
        <f>SUMIFS($AI$56:$AI$60,$V$56:$V$60,"Металік",$F$56:$F$60,16,$G$56:$G$60,"гладкий")</f>
        <v>0</v>
      </c>
      <c r="L273" s="256"/>
      <c r="M273" s="257">
        <f>Прайс!$F$15</f>
        <v>5630</v>
      </c>
      <c r="N273" s="245">
        <f t="shared" si="5"/>
        <v>0</v>
      </c>
      <c r="O273" s="256"/>
      <c r="P273" s="252"/>
      <c r="Q273" s="252"/>
      <c r="R273" s="248"/>
      <c r="S273" s="258"/>
      <c r="T273" s="259"/>
      <c r="U273" s="260"/>
      <c r="V273" s="260"/>
      <c r="AG273" s="262"/>
      <c r="AH273" s="262"/>
      <c r="AI273" s="262"/>
      <c r="AJ273" s="262"/>
      <c r="AK273" s="262"/>
      <c r="AL273" s="262"/>
      <c r="AM273" s="262"/>
      <c r="AN273" s="262"/>
      <c r="AO273" s="262"/>
      <c r="AP273" s="262"/>
      <c r="AQ273" s="263"/>
    </row>
    <row r="274" spans="1:43" s="261" customFormat="1" ht="15.75" x14ac:dyDescent="0.25">
      <c r="A274" s="163">
        <v>189</v>
      </c>
      <c r="B274" s="248" t="s">
        <v>580</v>
      </c>
      <c r="C274" s="248"/>
      <c r="D274" s="248"/>
      <c r="E274" s="248"/>
      <c r="F274" s="248"/>
      <c r="G274" s="248"/>
      <c r="H274" s="248"/>
      <c r="I274" s="248"/>
      <c r="J274" s="248" t="s">
        <v>376</v>
      </c>
      <c r="K274" s="264">
        <f>SUMIFS($AI$56:$AI$60,$V$56:$V$60,"Металік",$F$56:$F$60,19,$G$56:$G$60,"гладкий")</f>
        <v>0</v>
      </c>
      <c r="L274" s="256"/>
      <c r="M274" s="257">
        <f>Прайс!$G$15</f>
        <v>5700</v>
      </c>
      <c r="N274" s="245">
        <f t="shared" si="5"/>
        <v>0</v>
      </c>
      <c r="O274" s="256"/>
      <c r="P274" s="252"/>
      <c r="Q274" s="252"/>
      <c r="R274" s="248"/>
      <c r="S274" s="258"/>
      <c r="T274" s="259"/>
      <c r="U274" s="260"/>
      <c r="V274" s="260"/>
      <c r="AG274" s="262"/>
      <c r="AH274" s="262"/>
      <c r="AI274" s="262"/>
      <c r="AJ274" s="262"/>
      <c r="AK274" s="262"/>
      <c r="AL274" s="262"/>
      <c r="AM274" s="262"/>
      <c r="AN274" s="262"/>
      <c r="AO274" s="262"/>
      <c r="AP274" s="262"/>
      <c r="AQ274" s="263"/>
    </row>
    <row r="275" spans="1:43" s="261" customFormat="1" ht="15.75" x14ac:dyDescent="0.25">
      <c r="A275" s="163">
        <v>190</v>
      </c>
      <c r="B275" s="248" t="s">
        <v>581</v>
      </c>
      <c r="C275" s="248"/>
      <c r="D275" s="248"/>
      <c r="E275" s="248"/>
      <c r="F275" s="248"/>
      <c r="G275" s="248"/>
      <c r="H275" s="248"/>
      <c r="I275" s="248"/>
      <c r="J275" s="248" t="s">
        <v>376</v>
      </c>
      <c r="K275" s="264"/>
      <c r="L275" s="256"/>
      <c r="M275" s="257"/>
      <c r="N275" s="245">
        <f t="shared" si="5"/>
        <v>0</v>
      </c>
      <c r="O275" s="256"/>
      <c r="P275" s="252"/>
      <c r="Q275" s="252"/>
      <c r="R275" s="248"/>
      <c r="S275" s="258"/>
      <c r="T275" s="259"/>
      <c r="U275" s="260"/>
      <c r="V275" s="260"/>
      <c r="AG275" s="262"/>
      <c r="AH275" s="262"/>
      <c r="AI275" s="262"/>
      <c r="AJ275" s="262"/>
      <c r="AK275" s="262"/>
      <c r="AL275" s="262"/>
      <c r="AM275" s="262"/>
      <c r="AN275" s="262"/>
      <c r="AO275" s="262"/>
      <c r="AP275" s="262"/>
      <c r="AQ275" s="263"/>
    </row>
    <row r="276" spans="1:43" s="288" customFormat="1" ht="15.75" x14ac:dyDescent="0.25">
      <c r="A276" s="163">
        <v>191</v>
      </c>
      <c r="B276" s="289" t="s">
        <v>582</v>
      </c>
      <c r="C276" s="289"/>
      <c r="D276" s="289"/>
      <c r="E276" s="289"/>
      <c r="F276" s="289"/>
      <c r="G276" s="289"/>
      <c r="H276" s="289"/>
      <c r="I276" s="289"/>
      <c r="J276" s="289" t="s">
        <v>376</v>
      </c>
      <c r="K276" s="264">
        <f>SUMIFS($AI$56:$AI$60,$V$56:$V$60,"Рідке скло",$F$56:$F$60,16,$G$56:$G$60,"гладкий")</f>
        <v>0</v>
      </c>
      <c r="L276" s="290"/>
      <c r="M276" s="291">
        <f>Прайс!$F$16</f>
        <v>5280</v>
      </c>
      <c r="N276" s="245">
        <f t="shared" si="5"/>
        <v>0</v>
      </c>
      <c r="O276" s="290"/>
      <c r="P276" s="292"/>
      <c r="Q276" s="292"/>
      <c r="R276" s="289"/>
      <c r="S276" s="293"/>
      <c r="T276" s="294"/>
      <c r="U276" s="295"/>
      <c r="V276" s="295"/>
      <c r="AG276" s="296"/>
      <c r="AH276" s="296"/>
      <c r="AI276" s="296"/>
      <c r="AJ276" s="296"/>
      <c r="AK276" s="296"/>
      <c r="AL276" s="296"/>
      <c r="AM276" s="296"/>
      <c r="AN276" s="296"/>
      <c r="AO276" s="296"/>
      <c r="AP276" s="296"/>
      <c r="AQ276" s="297"/>
    </row>
    <row r="277" spans="1:43" s="288" customFormat="1" ht="15.75" x14ac:dyDescent="0.25">
      <c r="A277" s="163">
        <v>192</v>
      </c>
      <c r="B277" s="289" t="s">
        <v>583</v>
      </c>
      <c r="C277" s="289"/>
      <c r="D277" s="289"/>
      <c r="E277" s="289"/>
      <c r="F277" s="289"/>
      <c r="G277" s="289"/>
      <c r="H277" s="289"/>
      <c r="I277" s="289"/>
      <c r="J277" s="289" t="s">
        <v>376</v>
      </c>
      <c r="K277" s="264">
        <f>SUMIFS($AI$56:$AI$60,$V$56:$V$60,"Рідке скло",$F$56:$F$60,19,$G$56:$G$60,"гладкий")</f>
        <v>0</v>
      </c>
      <c r="L277" s="290"/>
      <c r="M277" s="291">
        <f>Прайс!$G$16</f>
        <v>5350</v>
      </c>
      <c r="N277" s="245">
        <f t="shared" si="5"/>
        <v>0</v>
      </c>
      <c r="O277" s="290"/>
      <c r="P277" s="292"/>
      <c r="Q277" s="292"/>
      <c r="R277" s="289"/>
      <c r="S277" s="293"/>
      <c r="T277" s="294"/>
      <c r="U277" s="295"/>
      <c r="V277" s="295"/>
      <c r="AG277" s="296"/>
      <c r="AH277" s="296"/>
      <c r="AI277" s="296"/>
      <c r="AJ277" s="296"/>
      <c r="AK277" s="296"/>
      <c r="AL277" s="296"/>
      <c r="AM277" s="296"/>
      <c r="AN277" s="296"/>
      <c r="AO277" s="296"/>
      <c r="AP277" s="296"/>
      <c r="AQ277" s="297"/>
    </row>
    <row r="278" spans="1:43" s="288" customFormat="1" ht="15.75" x14ac:dyDescent="0.25">
      <c r="A278" s="163">
        <v>193</v>
      </c>
      <c r="B278" s="289" t="s">
        <v>584</v>
      </c>
      <c r="C278" s="289"/>
      <c r="D278" s="289"/>
      <c r="E278" s="289"/>
      <c r="F278" s="289"/>
      <c r="G278" s="289"/>
      <c r="H278" s="289"/>
      <c r="I278" s="289"/>
      <c r="J278" s="289" t="s">
        <v>376</v>
      </c>
      <c r="K278" s="264"/>
      <c r="L278" s="290"/>
      <c r="M278" s="291"/>
      <c r="N278" s="245">
        <f t="shared" si="5"/>
        <v>0</v>
      </c>
      <c r="O278" s="290"/>
      <c r="P278" s="292"/>
      <c r="Q278" s="292"/>
      <c r="R278" s="289"/>
      <c r="S278" s="293"/>
      <c r="T278" s="294"/>
      <c r="U278" s="295"/>
      <c r="V278" s="295"/>
      <c r="AG278" s="296"/>
      <c r="AH278" s="296"/>
      <c r="AI278" s="296"/>
      <c r="AJ278" s="296"/>
      <c r="AK278" s="296"/>
      <c r="AL278" s="296"/>
      <c r="AM278" s="296"/>
      <c r="AN278" s="296"/>
      <c r="AO278" s="296"/>
      <c r="AP278" s="296"/>
      <c r="AQ278" s="297"/>
    </row>
    <row r="279" spans="1:43" s="261" customFormat="1" ht="15.75" x14ac:dyDescent="0.25">
      <c r="A279" s="163">
        <v>194</v>
      </c>
      <c r="B279" s="248" t="s">
        <v>585</v>
      </c>
      <c r="C279" s="248"/>
      <c r="D279" s="248"/>
      <c r="E279" s="248"/>
      <c r="F279" s="248"/>
      <c r="G279" s="248"/>
      <c r="H279" s="248"/>
      <c r="I279" s="248"/>
      <c r="J279" s="248" t="s">
        <v>376</v>
      </c>
      <c r="K279" s="298">
        <f>SUMIFS($AI$56:$AI$60,$V$56:$V$60,"Перли",$F$56:$F$60,16,$G$56:$G$60,"гладкий")+SUMIFS($AI$56:$AI$60,$V$56:$V$60,"Графіт",$F$56:$F$60,16,$G$56:$G$60,"гладкий")</f>
        <v>0</v>
      </c>
      <c r="L279" s="256"/>
      <c r="M279" s="257">
        <f>Прайс!$F$17</f>
        <v>5420</v>
      </c>
      <c r="N279" s="299">
        <f t="shared" si="5"/>
        <v>0</v>
      </c>
      <c r="O279" s="256"/>
      <c r="P279" s="252"/>
      <c r="Q279" s="252"/>
      <c r="R279" s="248"/>
      <c r="S279" s="258"/>
      <c r="T279" s="259"/>
      <c r="U279" s="260"/>
      <c r="V279" s="260"/>
      <c r="AG279" s="262"/>
      <c r="AH279" s="262"/>
      <c r="AI279" s="262"/>
      <c r="AJ279" s="262"/>
      <c r="AK279" s="262"/>
      <c r="AL279" s="262"/>
      <c r="AM279" s="262"/>
      <c r="AN279" s="262"/>
      <c r="AO279" s="262"/>
      <c r="AP279" s="262"/>
      <c r="AQ279" s="263"/>
    </row>
    <row r="280" spans="1:43" s="261" customFormat="1" ht="15.75" x14ac:dyDescent="0.25">
      <c r="A280" s="163">
        <v>195</v>
      </c>
      <c r="B280" s="248" t="s">
        <v>586</v>
      </c>
      <c r="C280" s="248"/>
      <c r="D280" s="248"/>
      <c r="E280" s="248"/>
      <c r="F280" s="248"/>
      <c r="G280" s="248"/>
      <c r="H280" s="248"/>
      <c r="I280" s="248"/>
      <c r="J280" s="248" t="s">
        <v>376</v>
      </c>
      <c r="K280" s="264">
        <f>SUMIFS($AI$56:$AI$60,$V$56:$V$60,"Перли",$F$56:$F$60,19,$G$56:$G$60,"гладкий")+SUMIFS($AI$56:$AI$60,$V$56:$V$60,"Графіт",$F$56:$F$60,19,$G$56:$G$60,"гладкий")</f>
        <v>0</v>
      </c>
      <c r="L280" s="256"/>
      <c r="M280" s="257">
        <f>Прайс!$G$17</f>
        <v>5490</v>
      </c>
      <c r="N280" s="245">
        <f t="shared" si="5"/>
        <v>0</v>
      </c>
      <c r="O280" s="256"/>
      <c r="P280" s="252"/>
      <c r="Q280" s="252"/>
      <c r="R280" s="248"/>
      <c r="S280" s="258"/>
      <c r="T280" s="259"/>
      <c r="U280" s="260"/>
      <c r="V280" s="260"/>
      <c r="AG280" s="262"/>
      <c r="AH280" s="262"/>
      <c r="AI280" s="262"/>
      <c r="AJ280" s="262"/>
      <c r="AK280" s="262"/>
      <c r="AL280" s="262"/>
      <c r="AM280" s="262"/>
      <c r="AN280" s="262"/>
      <c r="AO280" s="262"/>
      <c r="AP280" s="262"/>
      <c r="AQ280" s="263"/>
    </row>
    <row r="281" spans="1:43" s="261" customFormat="1" ht="15.75" x14ac:dyDescent="0.25">
      <c r="A281" s="163">
        <v>196</v>
      </c>
      <c r="B281" s="248" t="s">
        <v>587</v>
      </c>
      <c r="C281" s="248"/>
      <c r="D281" s="248"/>
      <c r="E281" s="248"/>
      <c r="F281" s="248"/>
      <c r="G281" s="248"/>
      <c r="H281" s="248"/>
      <c r="I281" s="248"/>
      <c r="J281" s="248" t="s">
        <v>376</v>
      </c>
      <c r="K281" s="264"/>
      <c r="L281" s="256"/>
      <c r="M281" s="257"/>
      <c r="N281" s="245">
        <f t="shared" si="5"/>
        <v>0</v>
      </c>
      <c r="O281" s="256"/>
      <c r="P281" s="252"/>
      <c r="Q281" s="252"/>
      <c r="R281" s="248"/>
      <c r="S281" s="258"/>
      <c r="T281" s="259"/>
      <c r="U281" s="260"/>
      <c r="V281" s="260"/>
      <c r="AG281" s="262"/>
      <c r="AH281" s="262"/>
      <c r="AI281" s="262"/>
      <c r="AJ281" s="262"/>
      <c r="AK281" s="262"/>
      <c r="AL281" s="262"/>
      <c r="AM281" s="262"/>
      <c r="AN281" s="262"/>
      <c r="AO281" s="262"/>
      <c r="AP281" s="262"/>
      <c r="AQ281" s="263"/>
    </row>
    <row r="282" spans="1:43" s="288" customFormat="1" ht="15.75" x14ac:dyDescent="0.25">
      <c r="A282" s="163">
        <v>197</v>
      </c>
      <c r="B282" s="289" t="s">
        <v>588</v>
      </c>
      <c r="C282" s="289"/>
      <c r="D282" s="289"/>
      <c r="E282" s="289"/>
      <c r="F282" s="289"/>
      <c r="G282" s="289"/>
      <c r="H282" s="289"/>
      <c r="I282" s="289"/>
      <c r="J282" s="289" t="s">
        <v>376</v>
      </c>
      <c r="K282" s="264">
        <f>SUMIFS($AI$56:$AI$60,$V$56:$V$60,"Зор.н.ср.",$F$56:$F$60,16,$G$56:$G$60,"гладкий")+SUMIFS($AI$56:$AI$60,$V$56:$V$60,"Зор.н.зол.",$F$56:$F$60,16,$G$56:$G$60,"гладкий")+SUMIFS($AI$56:$AI$60,$V$56:$V$60,"Зор.н.різн.",$F$56:$F$60,16,$G$56:$G$60,"гладкий")</f>
        <v>0</v>
      </c>
      <c r="L282" s="290"/>
      <c r="M282" s="291">
        <f>Прайс!$F$18</f>
        <v>5630</v>
      </c>
      <c r="N282" s="245">
        <f t="shared" si="5"/>
        <v>0</v>
      </c>
      <c r="O282" s="290"/>
      <c r="P282" s="292"/>
      <c r="Q282" s="292"/>
      <c r="R282" s="289"/>
      <c r="S282" s="293"/>
      <c r="T282" s="294"/>
      <c r="U282" s="295"/>
      <c r="V282" s="295"/>
      <c r="AG282" s="296"/>
      <c r="AH282" s="296"/>
      <c r="AI282" s="296"/>
      <c r="AJ282" s="296"/>
      <c r="AK282" s="296"/>
      <c r="AL282" s="296"/>
      <c r="AM282" s="296"/>
      <c r="AN282" s="296"/>
      <c r="AO282" s="296"/>
      <c r="AP282" s="296"/>
      <c r="AQ282" s="297"/>
    </row>
    <row r="283" spans="1:43" s="288" customFormat="1" ht="15.75" x14ac:dyDescent="0.25">
      <c r="A283" s="163">
        <v>198</v>
      </c>
      <c r="B283" s="289" t="s">
        <v>589</v>
      </c>
      <c r="C283" s="289"/>
      <c r="D283" s="289"/>
      <c r="E283" s="289"/>
      <c r="F283" s="289"/>
      <c r="G283" s="289"/>
      <c r="H283" s="289"/>
      <c r="I283" s="289"/>
      <c r="J283" s="289" t="s">
        <v>376</v>
      </c>
      <c r="K283" s="264">
        <f>SUMIFS($AI$56:$AI$60,$V$56:$V$60,"Зор.н.ср.",$F$56:$F$60,19,$G$56:$G$60,"гладкий")+SUMIFS($AI$56:$AI$60,$V$56:$V$60,"Зор.н.зол.",$F$56:$F$60,19,$G$56:$G$60,"гладкий")+SUMIFS($AI$56:$AI$60,$V$56:$V$60,"Зор.н.різн.",$F$56:$F$60,19,$G$56:$G$60,"гладкий")</f>
        <v>0</v>
      </c>
      <c r="L283" s="290"/>
      <c r="M283" s="291">
        <f>Прайс!$G$18</f>
        <v>5700</v>
      </c>
      <c r="N283" s="245">
        <f t="shared" si="5"/>
        <v>0</v>
      </c>
      <c r="O283" s="290"/>
      <c r="P283" s="292"/>
      <c r="Q283" s="292"/>
      <c r="R283" s="289"/>
      <c r="S283" s="293"/>
      <c r="T283" s="294"/>
      <c r="U283" s="295"/>
      <c r="V283" s="295"/>
      <c r="AG283" s="296"/>
      <c r="AH283" s="296"/>
      <c r="AI283" s="296"/>
      <c r="AJ283" s="296"/>
      <c r="AK283" s="296"/>
      <c r="AL283" s="296"/>
      <c r="AM283" s="296"/>
      <c r="AN283" s="296"/>
      <c r="AO283" s="296"/>
      <c r="AP283" s="296"/>
      <c r="AQ283" s="297"/>
    </row>
    <row r="284" spans="1:43" s="288" customFormat="1" ht="15.75" x14ac:dyDescent="0.25">
      <c r="A284" s="163">
        <v>199</v>
      </c>
      <c r="B284" s="289" t="s">
        <v>590</v>
      </c>
      <c r="C284" s="289"/>
      <c r="D284" s="289"/>
      <c r="E284" s="289"/>
      <c r="F284" s="289"/>
      <c r="G284" s="289"/>
      <c r="H284" s="289"/>
      <c r="I284" s="289"/>
      <c r="J284" s="289" t="s">
        <v>376</v>
      </c>
      <c r="K284" s="264"/>
      <c r="L284" s="290"/>
      <c r="M284" s="291"/>
      <c r="N284" s="245">
        <f t="shared" si="5"/>
        <v>0</v>
      </c>
      <c r="O284" s="290"/>
      <c r="P284" s="292"/>
      <c r="Q284" s="292"/>
      <c r="R284" s="289"/>
      <c r="S284" s="293"/>
      <c r="T284" s="294"/>
      <c r="U284" s="295"/>
      <c r="V284" s="295"/>
      <c r="AG284" s="296"/>
      <c r="AH284" s="296"/>
      <c r="AI284" s="296"/>
      <c r="AJ284" s="296"/>
      <c r="AK284" s="296"/>
      <c r="AL284" s="296"/>
      <c r="AM284" s="296"/>
      <c r="AN284" s="296"/>
      <c r="AO284" s="296"/>
      <c r="AP284" s="296"/>
      <c r="AQ284" s="297"/>
    </row>
    <row r="285" spans="1:43" s="261" customFormat="1" ht="15.75" x14ac:dyDescent="0.25">
      <c r="A285" s="163">
        <v>200</v>
      </c>
      <c r="B285" s="247" t="s">
        <v>459</v>
      </c>
      <c r="C285" s="248"/>
      <c r="D285" s="248"/>
      <c r="E285" s="248"/>
      <c r="F285" s="248"/>
      <c r="G285" s="248"/>
      <c r="H285" s="248"/>
      <c r="I285" s="248"/>
      <c r="J285" s="248" t="s">
        <v>376</v>
      </c>
      <c r="K285" s="298">
        <f>SUMIFS($AI$56:$AI$60,$V$56:$V$60,"",$X$56:$X$60,"Матове",$F$56:$F$60,16,$H$56:$H$60,1)</f>
        <v>0</v>
      </c>
      <c r="L285" s="256"/>
      <c r="M285" s="257">
        <f>Прайс!$H$73</f>
        <v>5910</v>
      </c>
      <c r="N285" s="245">
        <f t="shared" si="5"/>
        <v>0</v>
      </c>
      <c r="O285" s="256"/>
      <c r="P285" s="252"/>
      <c r="Q285" s="252"/>
      <c r="R285" s="248"/>
      <c r="S285" s="258"/>
      <c r="T285" s="259"/>
      <c r="U285" s="260"/>
      <c r="V285" s="260"/>
      <c r="AG285" s="262"/>
      <c r="AH285" s="262"/>
      <c r="AI285" s="262"/>
      <c r="AJ285" s="262"/>
      <c r="AK285" s="262"/>
      <c r="AL285" s="262"/>
      <c r="AM285" s="262"/>
      <c r="AN285" s="262"/>
      <c r="AO285" s="262"/>
      <c r="AP285" s="262"/>
      <c r="AQ285" s="263"/>
    </row>
    <row r="286" spans="1:43" s="261" customFormat="1" ht="15.75" x14ac:dyDescent="0.25">
      <c r="A286" s="163">
        <v>201</v>
      </c>
      <c r="B286" s="247" t="s">
        <v>460</v>
      </c>
      <c r="C286" s="248"/>
      <c r="D286" s="248"/>
      <c r="E286" s="248"/>
      <c r="F286" s="248"/>
      <c r="G286" s="248"/>
      <c r="H286" s="248"/>
      <c r="I286" s="248"/>
      <c r="J286" s="248" t="s">
        <v>376</v>
      </c>
      <c r="K286" s="298">
        <f>SUMIFS($AI$56:$AI$60,$V$56:$V$60,"",$X$56:$X$60,"Матове",$F$56:$F$60,16,$H$56:$H$60,2)</f>
        <v>0</v>
      </c>
      <c r="L286" s="256"/>
      <c r="M286" s="257">
        <f>Прайс!$I$73</f>
        <v>6330</v>
      </c>
      <c r="N286" s="245">
        <f t="shared" si="5"/>
        <v>0</v>
      </c>
      <c r="O286" s="256"/>
      <c r="P286" s="252"/>
      <c r="Q286" s="252"/>
      <c r="R286" s="248"/>
      <c r="S286" s="258"/>
      <c r="T286" s="259"/>
      <c r="U286" s="260"/>
      <c r="V286" s="260"/>
      <c r="AG286" s="262"/>
      <c r="AH286" s="262"/>
      <c r="AI286" s="262"/>
      <c r="AJ286" s="262"/>
      <c r="AK286" s="262"/>
      <c r="AL286" s="262"/>
      <c r="AM286" s="262"/>
      <c r="AN286" s="262"/>
      <c r="AO286" s="262"/>
      <c r="AP286" s="262"/>
      <c r="AQ286" s="263"/>
    </row>
    <row r="287" spans="1:43" s="261" customFormat="1" ht="15.75" x14ac:dyDescent="0.25">
      <c r="A287" s="163">
        <v>202</v>
      </c>
      <c r="B287" s="248" t="s">
        <v>461</v>
      </c>
      <c r="C287" s="248"/>
      <c r="D287" s="248"/>
      <c r="E287" s="248"/>
      <c r="F287" s="248"/>
      <c r="G287" s="248"/>
      <c r="H287" s="248"/>
      <c r="I287" s="248"/>
      <c r="J287" s="248" t="s">
        <v>376</v>
      </c>
      <c r="K287" s="298">
        <f>SUMIFS($AI$56:$AI$60,$V$56:$V$60,"",$X$56:$X$60,"Матове",$E$56:$E$60,19,$H$56:$H$60,1)</f>
        <v>0</v>
      </c>
      <c r="L287" s="256"/>
      <c r="M287" s="257">
        <f>Прайс!$J$73</f>
        <v>5980</v>
      </c>
      <c r="N287" s="245">
        <f t="shared" si="5"/>
        <v>0</v>
      </c>
      <c r="O287" s="256"/>
      <c r="P287" s="252"/>
      <c r="Q287" s="252"/>
      <c r="R287" s="248"/>
      <c r="S287" s="258"/>
      <c r="T287" s="259"/>
      <c r="U287" s="260"/>
      <c r="V287" s="260"/>
      <c r="AG287" s="262"/>
      <c r="AH287" s="262"/>
      <c r="AI287" s="262"/>
      <c r="AJ287" s="262"/>
      <c r="AK287" s="262"/>
      <c r="AL287" s="262"/>
      <c r="AM287" s="262"/>
      <c r="AN287" s="262"/>
      <c r="AO287" s="262"/>
      <c r="AP287" s="262"/>
      <c r="AQ287" s="263"/>
    </row>
    <row r="288" spans="1:43" s="261" customFormat="1" ht="15.75" x14ac:dyDescent="0.25">
      <c r="A288" s="163">
        <v>203</v>
      </c>
      <c r="B288" s="248" t="s">
        <v>462</v>
      </c>
      <c r="C288" s="248"/>
      <c r="D288" s="248"/>
      <c r="E288" s="248"/>
      <c r="F288" s="248"/>
      <c r="G288" s="248"/>
      <c r="H288" s="248"/>
      <c r="I288" s="248"/>
      <c r="J288" s="248" t="s">
        <v>376</v>
      </c>
      <c r="K288" s="298">
        <f>SUMIFS($AI$56:$AI$60,$V$56:$V$60,"",$X$56:$X$60,"Матове",$F$56:$F$60,19,$H$56:$H$60,2)</f>
        <v>0</v>
      </c>
      <c r="L288" s="256"/>
      <c r="M288" s="257">
        <f>Прайс!$K$73</f>
        <v>6400</v>
      </c>
      <c r="N288" s="245">
        <f t="shared" si="5"/>
        <v>0</v>
      </c>
      <c r="O288" s="256"/>
      <c r="P288" s="252"/>
      <c r="Q288" s="252"/>
      <c r="R288" s="248"/>
      <c r="S288" s="258"/>
      <c r="T288" s="259"/>
      <c r="U288" s="260"/>
      <c r="V288" s="260"/>
      <c r="AG288" s="262"/>
      <c r="AH288" s="262"/>
      <c r="AI288" s="262"/>
      <c r="AJ288" s="262"/>
      <c r="AK288" s="262"/>
      <c r="AL288" s="262"/>
      <c r="AM288" s="262"/>
      <c r="AN288" s="262"/>
      <c r="AO288" s="262"/>
      <c r="AP288" s="262"/>
      <c r="AQ288" s="263"/>
    </row>
    <row r="289" spans="1:43" s="261" customFormat="1" ht="15.75" x14ac:dyDescent="0.25">
      <c r="A289" s="163">
        <v>204</v>
      </c>
      <c r="B289" s="248" t="s">
        <v>463</v>
      </c>
      <c r="C289" s="248"/>
      <c r="D289" s="248"/>
      <c r="E289" s="248"/>
      <c r="F289" s="248"/>
      <c r="G289" s="248"/>
      <c r="H289" s="248"/>
      <c r="I289" s="248"/>
      <c r="J289" s="248" t="s">
        <v>376</v>
      </c>
      <c r="K289" s="298">
        <f>SUMIFS($AI$56:$AI$60,$V$56:$V$60,"",$Y$56:$Y$60,"Матове",$H$56:$H$60,1)</f>
        <v>0</v>
      </c>
      <c r="L289" s="256"/>
      <c r="M289" s="257">
        <f>Прайс!$H$73/2</f>
        <v>2955</v>
      </c>
      <c r="N289" s="245">
        <f t="shared" si="5"/>
        <v>0</v>
      </c>
      <c r="O289" s="256"/>
      <c r="P289" s="252"/>
      <c r="Q289" s="252"/>
      <c r="R289" s="248"/>
      <c r="S289" s="258"/>
      <c r="T289" s="259"/>
      <c r="U289" s="260"/>
      <c r="V289" s="260"/>
      <c r="AG289" s="262"/>
      <c r="AH289" s="262"/>
      <c r="AI289" s="262"/>
      <c r="AJ289" s="262"/>
      <c r="AK289" s="262"/>
      <c r="AL289" s="262"/>
      <c r="AM289" s="262"/>
      <c r="AN289" s="262"/>
      <c r="AO289" s="262"/>
      <c r="AP289" s="262"/>
      <c r="AQ289" s="263"/>
    </row>
    <row r="290" spans="1:43" s="261" customFormat="1" ht="15.75" x14ac:dyDescent="0.25">
      <c r="A290" s="163">
        <v>205</v>
      </c>
      <c r="B290" s="248" t="s">
        <v>464</v>
      </c>
      <c r="C290" s="248"/>
      <c r="D290" s="248"/>
      <c r="E290" s="248"/>
      <c r="F290" s="248"/>
      <c r="G290" s="248"/>
      <c r="H290" s="248"/>
      <c r="I290" s="248"/>
      <c r="J290" s="248" t="s">
        <v>376</v>
      </c>
      <c r="K290" s="298">
        <f>SUMIFS($AI$56:$AI$60,$V$56:$V$60,"",$Y$56:$Y$60,"Матове",$H$56:$H$60,2)</f>
        <v>0</v>
      </c>
      <c r="L290" s="256"/>
      <c r="M290" s="257">
        <f>Прайс!$I$73/2</f>
        <v>3165</v>
      </c>
      <c r="N290" s="245">
        <f t="shared" si="5"/>
        <v>0</v>
      </c>
      <c r="O290" s="256"/>
      <c r="P290" s="252"/>
      <c r="Q290" s="252"/>
      <c r="R290" s="248"/>
      <c r="S290" s="258"/>
      <c r="T290" s="259"/>
      <c r="U290" s="260"/>
      <c r="V290" s="260"/>
      <c r="AG290" s="262"/>
      <c r="AH290" s="262"/>
      <c r="AI290" s="262"/>
      <c r="AJ290" s="262"/>
      <c r="AK290" s="262"/>
      <c r="AL290" s="262"/>
      <c r="AM290" s="262"/>
      <c r="AN290" s="262"/>
      <c r="AO290" s="262"/>
      <c r="AP290" s="262"/>
      <c r="AQ290" s="263"/>
    </row>
    <row r="291" spans="1:43" ht="15.75" x14ac:dyDescent="0.25">
      <c r="A291" s="163">
        <v>206</v>
      </c>
      <c r="B291" s="232" t="s">
        <v>465</v>
      </c>
      <c r="C291" s="233"/>
      <c r="D291" s="233"/>
      <c r="E291" s="233"/>
      <c r="F291" s="233"/>
      <c r="G291" s="233"/>
      <c r="H291" s="233"/>
      <c r="I291" s="233"/>
      <c r="J291" s="233" t="s">
        <v>376</v>
      </c>
      <c r="K291" s="243">
        <f>SUMIFS($AI$56:$AI$60,$V$56:$V$60,"",$X$56:$X$60,"Софт(TS)",$F$56:$F$60,16,$H$56:$H$60,1)</f>
        <v>0</v>
      </c>
      <c r="L291" s="254"/>
      <c r="M291" s="255">
        <f>Прайс!$H$74</f>
        <v>5960</v>
      </c>
      <c r="N291" s="245">
        <f t="shared" si="5"/>
        <v>0</v>
      </c>
      <c r="O291" s="254"/>
      <c r="P291" s="234"/>
      <c r="Q291" s="234"/>
      <c r="R291" s="233"/>
      <c r="S291" s="204"/>
      <c r="T291" s="205"/>
      <c r="U291" s="235"/>
      <c r="V291" s="235"/>
      <c r="AG291" s="236"/>
      <c r="AH291" s="236"/>
      <c r="AI291" s="236"/>
      <c r="AJ291" s="236"/>
      <c r="AK291" s="236"/>
      <c r="AL291" s="236"/>
      <c r="AM291" s="236"/>
      <c r="AN291" s="236"/>
      <c r="AO291" s="236"/>
      <c r="AP291" s="236"/>
      <c r="AQ291" s="237"/>
    </row>
    <row r="292" spans="1:43" ht="15.75" x14ac:dyDescent="0.25">
      <c r="A292" s="163">
        <v>207</v>
      </c>
      <c r="B292" s="232" t="s">
        <v>466</v>
      </c>
      <c r="C292" s="233"/>
      <c r="D292" s="233"/>
      <c r="E292" s="233"/>
      <c r="F292" s="233"/>
      <c r="G292" s="233"/>
      <c r="H292" s="233"/>
      <c r="I292" s="233"/>
      <c r="J292" s="233" t="s">
        <v>376</v>
      </c>
      <c r="K292" s="243">
        <f>SUMIFS($AI$56:$AI$60,$V$56:$V$60,"",$X$56:$X$60,"Софт(TS)",$F$56:$F$60,16,$H$56:$H$60,2)</f>
        <v>0</v>
      </c>
      <c r="L292" s="254"/>
      <c r="M292" s="255">
        <f>Прайс!$I$74</f>
        <v>6380</v>
      </c>
      <c r="N292" s="245">
        <f t="shared" si="5"/>
        <v>0</v>
      </c>
      <c r="O292" s="254"/>
      <c r="P292" s="234"/>
      <c r="Q292" s="234"/>
      <c r="R292" s="233"/>
      <c r="S292" s="204"/>
      <c r="T292" s="205"/>
      <c r="U292" s="235"/>
      <c r="V292" s="235"/>
      <c r="AG292" s="236"/>
      <c r="AH292" s="236"/>
      <c r="AI292" s="236"/>
      <c r="AJ292" s="236"/>
      <c r="AK292" s="236"/>
      <c r="AL292" s="236"/>
      <c r="AM292" s="236"/>
      <c r="AN292" s="236"/>
      <c r="AO292" s="236"/>
      <c r="AP292" s="236"/>
      <c r="AQ292" s="237"/>
    </row>
    <row r="293" spans="1:43" ht="15.75" x14ac:dyDescent="0.25">
      <c r="A293" s="163">
        <v>208</v>
      </c>
      <c r="B293" s="233" t="s">
        <v>467</v>
      </c>
      <c r="C293" s="233"/>
      <c r="D293" s="233"/>
      <c r="E293" s="233"/>
      <c r="F293" s="233"/>
      <c r="G293" s="233"/>
      <c r="H293" s="233"/>
      <c r="I293" s="233"/>
      <c r="J293" s="233" t="s">
        <v>376</v>
      </c>
      <c r="K293" s="243">
        <f>SUMIFS($AI$56:$AI$60,$V$56:$V$60,"",$X$56:$X$60,"Софт(TS)",$F$56:$F$60,19,$H$56:$H$60,1)</f>
        <v>0</v>
      </c>
      <c r="L293" s="254"/>
      <c r="M293" s="255">
        <f>Прайс!$J$74</f>
        <v>6030</v>
      </c>
      <c r="N293" s="245">
        <f t="shared" si="5"/>
        <v>0</v>
      </c>
      <c r="O293" s="254"/>
      <c r="P293" s="234"/>
      <c r="Q293" s="234"/>
      <c r="R293" s="233"/>
      <c r="S293" s="204"/>
      <c r="T293" s="205"/>
      <c r="U293" s="235"/>
      <c r="V293" s="235"/>
      <c r="AG293" s="236"/>
      <c r="AH293" s="236"/>
      <c r="AI293" s="236"/>
      <c r="AJ293" s="236"/>
      <c r="AK293" s="236"/>
      <c r="AL293" s="236"/>
      <c r="AM293" s="236"/>
      <c r="AN293" s="236"/>
      <c r="AO293" s="236"/>
      <c r="AP293" s="236"/>
      <c r="AQ293" s="237"/>
    </row>
    <row r="294" spans="1:43" ht="15.75" x14ac:dyDescent="0.25">
      <c r="A294" s="163">
        <v>209</v>
      </c>
      <c r="B294" s="233" t="s">
        <v>468</v>
      </c>
      <c r="C294" s="233"/>
      <c r="D294" s="233"/>
      <c r="E294" s="233"/>
      <c r="F294" s="233"/>
      <c r="G294" s="233"/>
      <c r="H294" s="233"/>
      <c r="I294" s="233"/>
      <c r="J294" s="233" t="s">
        <v>376</v>
      </c>
      <c r="K294" s="243">
        <f>SUMIFS($AI$56:$AI$60,$V$56:$V$60,"",$X$56:$X$60,"Софт(TS)",$F$56:$F$60,19,$H$56:$H$60,2)</f>
        <v>0</v>
      </c>
      <c r="L294" s="254"/>
      <c r="M294" s="255">
        <f>Прайс!$K$74</f>
        <v>6450</v>
      </c>
      <c r="N294" s="245">
        <f t="shared" si="5"/>
        <v>0</v>
      </c>
      <c r="O294" s="254"/>
      <c r="P294" s="234"/>
      <c r="Q294" s="234"/>
      <c r="R294" s="233"/>
      <c r="S294" s="204"/>
      <c r="T294" s="205"/>
      <c r="U294" s="235"/>
      <c r="V294" s="235"/>
      <c r="AG294" s="236"/>
      <c r="AH294" s="236"/>
      <c r="AI294" s="236"/>
      <c r="AJ294" s="236"/>
      <c r="AK294" s="236"/>
      <c r="AL294" s="236"/>
      <c r="AM294" s="236"/>
      <c r="AN294" s="236"/>
      <c r="AO294" s="236"/>
      <c r="AP294" s="236"/>
      <c r="AQ294" s="237"/>
    </row>
    <row r="295" spans="1:43" ht="15.75" x14ac:dyDescent="0.25">
      <c r="A295" s="163">
        <v>210</v>
      </c>
      <c r="B295" s="233" t="s">
        <v>469</v>
      </c>
      <c r="C295" s="233"/>
      <c r="D295" s="233"/>
      <c r="E295" s="233"/>
      <c r="F295" s="233"/>
      <c r="G295" s="233"/>
      <c r="H295" s="233"/>
      <c r="I295" s="233"/>
      <c r="J295" s="233" t="s">
        <v>376</v>
      </c>
      <c r="K295" s="243">
        <f>SUMIFS($AI$56:$AI$60,$V$56:$V$60,"",$Y$56:$Y$60,"Софт(TS)",$H$56:$H$60,1)</f>
        <v>0</v>
      </c>
      <c r="L295" s="254"/>
      <c r="M295" s="255">
        <f>Прайс!$H$74*0.5</f>
        <v>2980</v>
      </c>
      <c r="N295" s="245">
        <f t="shared" si="5"/>
        <v>0</v>
      </c>
      <c r="O295" s="254"/>
      <c r="P295" s="234"/>
      <c r="Q295" s="234"/>
      <c r="R295" s="233"/>
      <c r="S295" s="204"/>
      <c r="T295" s="205"/>
      <c r="U295" s="235"/>
      <c r="V295" s="235"/>
      <c r="AG295" s="236"/>
      <c r="AH295" s="236"/>
      <c r="AI295" s="236"/>
      <c r="AJ295" s="236"/>
      <c r="AK295" s="236"/>
      <c r="AL295" s="236"/>
      <c r="AM295" s="236"/>
      <c r="AN295" s="236"/>
      <c r="AO295" s="236"/>
      <c r="AP295" s="236"/>
      <c r="AQ295" s="237"/>
    </row>
    <row r="296" spans="1:43" ht="15.75" x14ac:dyDescent="0.25">
      <c r="A296" s="163">
        <v>211</v>
      </c>
      <c r="B296" s="233" t="s">
        <v>470</v>
      </c>
      <c r="C296" s="233"/>
      <c r="D296" s="233"/>
      <c r="E296" s="233"/>
      <c r="F296" s="233"/>
      <c r="G296" s="233"/>
      <c r="H296" s="233"/>
      <c r="I296" s="233"/>
      <c r="J296" s="233" t="s">
        <v>376</v>
      </c>
      <c r="K296" s="243">
        <f>SUMIFS($AI$56:$AI$60,$V$56:$V$60,"",$Y$56:$Y$60,"Софт(TS)",$H$56:$H$60,2)</f>
        <v>0</v>
      </c>
      <c r="L296" s="254"/>
      <c r="M296" s="255">
        <f>Прайс!$I$74*0.5</f>
        <v>3190</v>
      </c>
      <c r="N296" s="245">
        <f t="shared" si="5"/>
        <v>0</v>
      </c>
      <c r="O296" s="254"/>
      <c r="P296" s="234"/>
      <c r="Q296" s="234"/>
      <c r="R296" s="233"/>
      <c r="S296" s="204"/>
      <c r="T296" s="205"/>
      <c r="U296" s="235"/>
      <c r="V296" s="235"/>
      <c r="AG296" s="236"/>
      <c r="AH296" s="236"/>
      <c r="AI296" s="236"/>
      <c r="AJ296" s="236"/>
      <c r="AK296" s="236"/>
      <c r="AL296" s="236"/>
      <c r="AM296" s="236"/>
      <c r="AN296" s="236"/>
      <c r="AO296" s="236"/>
      <c r="AP296" s="236"/>
      <c r="AQ296" s="237"/>
    </row>
    <row r="297" spans="1:43" s="311" customFormat="1" ht="15.75" x14ac:dyDescent="0.25">
      <c r="A297" s="163">
        <v>212</v>
      </c>
      <c r="B297" s="302" t="s">
        <v>471</v>
      </c>
      <c r="C297" s="303"/>
      <c r="D297" s="303"/>
      <c r="E297" s="303"/>
      <c r="F297" s="303"/>
      <c r="G297" s="303"/>
      <c r="H297" s="303"/>
      <c r="I297" s="303"/>
      <c r="J297" s="303" t="s">
        <v>376</v>
      </c>
      <c r="K297" s="304">
        <f>SUMIFS($AI$56:$AI$60,$V$56:$V$60,"",$X$56:$X$60,"Глянець",$F$56:$F$60,16,$H$56:$H$60,1)</f>
        <v>0</v>
      </c>
      <c r="L297" s="305"/>
      <c r="M297" s="306">
        <f>Прайс!$H$75</f>
        <v>6470</v>
      </c>
      <c r="N297" s="245">
        <f t="shared" si="5"/>
        <v>0</v>
      </c>
      <c r="O297" s="305"/>
      <c r="P297" s="307"/>
      <c r="Q297" s="307"/>
      <c r="R297" s="303"/>
      <c r="S297" s="308"/>
      <c r="T297" s="309"/>
      <c r="U297" s="310"/>
      <c r="V297" s="310"/>
      <c r="AG297" s="312"/>
      <c r="AH297" s="312"/>
      <c r="AI297" s="312"/>
      <c r="AJ297" s="312"/>
      <c r="AK297" s="312"/>
      <c r="AL297" s="312"/>
      <c r="AM297" s="312"/>
      <c r="AN297" s="312"/>
      <c r="AO297" s="312"/>
      <c r="AP297" s="312"/>
      <c r="AQ297" s="313"/>
    </row>
    <row r="298" spans="1:43" s="311" customFormat="1" ht="15.75" x14ac:dyDescent="0.25">
      <c r="A298" s="163">
        <v>213</v>
      </c>
      <c r="B298" s="302" t="s">
        <v>472</v>
      </c>
      <c r="C298" s="303"/>
      <c r="D298" s="303"/>
      <c r="E298" s="303"/>
      <c r="F298" s="303"/>
      <c r="G298" s="303"/>
      <c r="H298" s="303"/>
      <c r="I298" s="303"/>
      <c r="J298" s="303" t="s">
        <v>376</v>
      </c>
      <c r="K298" s="304">
        <f>SUMIFS($AI$56:$AI$60,$V$56:$V$60,"",$X$56:$X$60,"Глянець",$F$56:$F$60,16,$H$56:$H$60,2)</f>
        <v>0</v>
      </c>
      <c r="L298" s="305"/>
      <c r="M298" s="306">
        <f>Прайс!$I$75</f>
        <v>6890</v>
      </c>
      <c r="N298" s="245">
        <f t="shared" si="5"/>
        <v>0</v>
      </c>
      <c r="O298" s="305"/>
      <c r="P298" s="307"/>
      <c r="Q298" s="307"/>
      <c r="R298" s="303"/>
      <c r="S298" s="308"/>
      <c r="T298" s="309"/>
      <c r="U298" s="310"/>
      <c r="V298" s="310"/>
      <c r="AG298" s="312"/>
      <c r="AH298" s="312"/>
      <c r="AI298" s="312"/>
      <c r="AJ298" s="312"/>
      <c r="AK298" s="312"/>
      <c r="AL298" s="312"/>
      <c r="AM298" s="312"/>
      <c r="AN298" s="312"/>
      <c r="AO298" s="312"/>
      <c r="AP298" s="312"/>
      <c r="AQ298" s="313"/>
    </row>
    <row r="299" spans="1:43" s="311" customFormat="1" ht="15.75" x14ac:dyDescent="0.25">
      <c r="A299" s="163">
        <v>214</v>
      </c>
      <c r="B299" s="303" t="s">
        <v>473</v>
      </c>
      <c r="C299" s="303"/>
      <c r="D299" s="303"/>
      <c r="E299" s="303"/>
      <c r="F299" s="303"/>
      <c r="G299" s="303"/>
      <c r="H299" s="303"/>
      <c r="I299" s="303"/>
      <c r="J299" s="303" t="s">
        <v>376</v>
      </c>
      <c r="K299" s="304">
        <f>SUMIFS($AI$56:$AI$60,$V$56:$V$60,"",$X$56:$X$60,"Глянець",$F$56:$F$60,19,$H$56:$H$60,1)</f>
        <v>0</v>
      </c>
      <c r="L299" s="305"/>
      <c r="M299" s="306">
        <f>Прайс!$J$75</f>
        <v>6540</v>
      </c>
      <c r="N299" s="245">
        <f t="shared" si="5"/>
        <v>0</v>
      </c>
      <c r="O299" s="305"/>
      <c r="P299" s="307"/>
      <c r="Q299" s="307"/>
      <c r="R299" s="303"/>
      <c r="S299" s="308"/>
      <c r="T299" s="309"/>
      <c r="U299" s="310"/>
      <c r="V299" s="310"/>
      <c r="AG299" s="312"/>
      <c r="AH299" s="312"/>
      <c r="AI299" s="312"/>
      <c r="AJ299" s="312"/>
      <c r="AK299" s="312"/>
      <c r="AL299" s="312"/>
      <c r="AM299" s="312"/>
      <c r="AN299" s="312"/>
      <c r="AO299" s="312"/>
      <c r="AP299" s="312"/>
      <c r="AQ299" s="313"/>
    </row>
    <row r="300" spans="1:43" s="311" customFormat="1" ht="15.75" x14ac:dyDescent="0.25">
      <c r="A300" s="163">
        <v>215</v>
      </c>
      <c r="B300" s="303" t="s">
        <v>474</v>
      </c>
      <c r="C300" s="303"/>
      <c r="D300" s="303"/>
      <c r="E300" s="303"/>
      <c r="F300" s="303"/>
      <c r="G300" s="303"/>
      <c r="H300" s="303"/>
      <c r="I300" s="303"/>
      <c r="J300" s="303" t="s">
        <v>376</v>
      </c>
      <c r="K300" s="304">
        <f>SUMIFS($AI$56:$AI$60,$V$56:$V$60,"",$X$56:$X$60,"Глянець",$F$56:$F$60,19,$H$56:$H$60,2)</f>
        <v>0</v>
      </c>
      <c r="L300" s="305"/>
      <c r="M300" s="306">
        <f>Прайс!$K$75</f>
        <v>6960</v>
      </c>
      <c r="N300" s="245">
        <f t="shared" si="5"/>
        <v>0</v>
      </c>
      <c r="O300" s="305"/>
      <c r="P300" s="307"/>
      <c r="Q300" s="307"/>
      <c r="R300" s="303"/>
      <c r="S300" s="308"/>
      <c r="T300" s="309"/>
      <c r="U300" s="310"/>
      <c r="V300" s="310"/>
      <c r="AG300" s="312"/>
      <c r="AH300" s="312"/>
      <c r="AI300" s="312"/>
      <c r="AJ300" s="312"/>
      <c r="AK300" s="312"/>
      <c r="AL300" s="312"/>
      <c r="AM300" s="312"/>
      <c r="AN300" s="312"/>
      <c r="AO300" s="312"/>
      <c r="AP300" s="312"/>
      <c r="AQ300" s="313"/>
    </row>
    <row r="301" spans="1:43" s="311" customFormat="1" ht="15.75" x14ac:dyDescent="0.25">
      <c r="A301" s="163">
        <v>216</v>
      </c>
      <c r="B301" s="303" t="s">
        <v>475</v>
      </c>
      <c r="C301" s="303"/>
      <c r="D301" s="303"/>
      <c r="E301" s="303"/>
      <c r="F301" s="303"/>
      <c r="G301" s="303"/>
      <c r="H301" s="303"/>
      <c r="I301" s="303"/>
      <c r="J301" s="303" t="s">
        <v>376</v>
      </c>
      <c r="K301" s="304">
        <f>SUMIFS($AI$56:$AI$60,$V$56:$V$60,"",$Y$56:$Y$60,"Глянець",$H$56:$H$60,1)</f>
        <v>0</v>
      </c>
      <c r="L301" s="305"/>
      <c r="M301" s="306">
        <f>Прайс!$H$75*0.5</f>
        <v>3235</v>
      </c>
      <c r="N301" s="245">
        <f t="shared" si="5"/>
        <v>0</v>
      </c>
      <c r="O301" s="305"/>
      <c r="P301" s="307"/>
      <c r="Q301" s="307"/>
      <c r="R301" s="303"/>
      <c r="S301" s="308"/>
      <c r="T301" s="309"/>
      <c r="U301" s="310"/>
      <c r="V301" s="310"/>
      <c r="AG301" s="312"/>
      <c r="AH301" s="312"/>
      <c r="AI301" s="312"/>
      <c r="AJ301" s="312"/>
      <c r="AK301" s="312"/>
      <c r="AL301" s="312"/>
      <c r="AM301" s="312"/>
      <c r="AN301" s="312"/>
      <c r="AO301" s="312"/>
      <c r="AP301" s="312"/>
      <c r="AQ301" s="313"/>
    </row>
    <row r="302" spans="1:43" s="311" customFormat="1" ht="15.75" x14ac:dyDescent="0.25">
      <c r="A302" s="163">
        <v>217</v>
      </c>
      <c r="B302" s="303" t="s">
        <v>476</v>
      </c>
      <c r="C302" s="303"/>
      <c r="D302" s="303"/>
      <c r="E302" s="303"/>
      <c r="F302" s="303"/>
      <c r="G302" s="303"/>
      <c r="H302" s="303"/>
      <c r="I302" s="303"/>
      <c r="J302" s="303" t="s">
        <v>376</v>
      </c>
      <c r="K302" s="304">
        <f>SUMIFS($AI$56:$AI$60,$V$56:$V$60,"",$Y$56:$Y$60,"Глянець",$H$56:$H$60,2)</f>
        <v>0</v>
      </c>
      <c r="L302" s="305"/>
      <c r="M302" s="306">
        <f>Прайс!$I$75*0.5</f>
        <v>3445</v>
      </c>
      <c r="N302" s="245">
        <f t="shared" si="5"/>
        <v>0</v>
      </c>
      <c r="O302" s="305"/>
      <c r="P302" s="307"/>
      <c r="Q302" s="307"/>
      <c r="R302" s="303"/>
      <c r="S302" s="308"/>
      <c r="T302" s="309"/>
      <c r="U302" s="310"/>
      <c r="V302" s="310"/>
      <c r="AG302" s="312"/>
      <c r="AH302" s="312"/>
      <c r="AI302" s="312"/>
      <c r="AJ302" s="312"/>
      <c r="AK302" s="312"/>
      <c r="AL302" s="312"/>
      <c r="AM302" s="312"/>
      <c r="AN302" s="312"/>
      <c r="AO302" s="312"/>
      <c r="AP302" s="312"/>
      <c r="AQ302" s="313"/>
    </row>
    <row r="303" spans="1:43" ht="15.75" x14ac:dyDescent="0.25">
      <c r="A303" s="163">
        <v>218</v>
      </c>
      <c r="B303" s="233" t="s">
        <v>628</v>
      </c>
      <c r="C303" s="233"/>
      <c r="D303" s="233"/>
      <c r="E303" s="233"/>
      <c r="F303" s="233"/>
      <c r="G303" s="233"/>
      <c r="H303" s="233"/>
      <c r="I303" s="233"/>
      <c r="J303" s="233" t="s">
        <v>376</v>
      </c>
      <c r="K303" s="243">
        <f>SUMIFS($AI$56:$AI$60,$V$56:$V$60,"Перл.ср.",$F$56:$F$60,16,$H$56:$H$60,1)+SUMIFS($AI$56:$AI$60,$V$56:$V$60,"Перл.зол.",$F$56:$F$60,16,$H$56:$H$60,1)</f>
        <v>0</v>
      </c>
      <c r="L303" s="254"/>
      <c r="M303" s="255">
        <f>Прайс!$H$76</f>
        <v>6610</v>
      </c>
      <c r="N303" s="245">
        <f t="shared" si="5"/>
        <v>0</v>
      </c>
      <c r="O303" s="254"/>
      <c r="P303" s="234"/>
      <c r="Q303" s="234"/>
      <c r="R303" s="233"/>
      <c r="S303" s="204"/>
      <c r="T303" s="205"/>
      <c r="U303" s="235"/>
      <c r="V303" s="235"/>
      <c r="AG303" s="236"/>
      <c r="AH303" s="236"/>
      <c r="AI303" s="236"/>
      <c r="AJ303" s="236"/>
      <c r="AK303" s="236"/>
      <c r="AL303" s="236"/>
      <c r="AM303" s="236"/>
      <c r="AN303" s="236"/>
      <c r="AO303" s="236"/>
      <c r="AP303" s="236"/>
      <c r="AQ303" s="237"/>
    </row>
    <row r="304" spans="1:43" ht="15.75" x14ac:dyDescent="0.25">
      <c r="A304" s="163">
        <v>219</v>
      </c>
      <c r="B304" s="233" t="s">
        <v>629</v>
      </c>
      <c r="C304" s="233"/>
      <c r="D304" s="233"/>
      <c r="E304" s="233"/>
      <c r="F304" s="233"/>
      <c r="G304" s="233"/>
      <c r="H304" s="233"/>
      <c r="I304" s="233"/>
      <c r="J304" s="233" t="s">
        <v>376</v>
      </c>
      <c r="K304" s="243">
        <f>SUMIFS($AI$56:$AI$60,$V$56:$V$60,"Перл.ср.",$F$56:$F$60,16,$H$56:$H$60,2)+SUMIFS($AI$56:$AI$60,$V$56:$V$60,"Перл.зол.",$F$56:$F$60,16,$H$56:$H$60,2)</f>
        <v>0</v>
      </c>
      <c r="L304" s="254"/>
      <c r="M304" s="255">
        <f>Прайс!$I$76</f>
        <v>7030</v>
      </c>
      <c r="N304" s="245">
        <f t="shared" si="5"/>
        <v>0</v>
      </c>
      <c r="O304" s="254"/>
      <c r="P304" s="234"/>
      <c r="Q304" s="234"/>
      <c r="R304" s="233"/>
      <c r="S304" s="204"/>
      <c r="T304" s="205"/>
      <c r="U304" s="235"/>
      <c r="V304" s="235"/>
      <c r="AG304" s="236"/>
      <c r="AH304" s="236"/>
      <c r="AI304" s="236"/>
      <c r="AJ304" s="236"/>
      <c r="AK304" s="236"/>
      <c r="AL304" s="236"/>
      <c r="AM304" s="236"/>
      <c r="AN304" s="236"/>
      <c r="AO304" s="236"/>
      <c r="AP304" s="236"/>
      <c r="AQ304" s="237"/>
    </row>
    <row r="305" spans="1:43" ht="15.75" x14ac:dyDescent="0.25">
      <c r="A305" s="163">
        <v>220</v>
      </c>
      <c r="B305" s="233" t="s">
        <v>630</v>
      </c>
      <c r="C305" s="233"/>
      <c r="D305" s="233"/>
      <c r="E305" s="233"/>
      <c r="F305" s="233"/>
      <c r="G305" s="233"/>
      <c r="H305" s="233"/>
      <c r="I305" s="233"/>
      <c r="J305" s="233" t="s">
        <v>376</v>
      </c>
      <c r="K305" s="243">
        <f>SUMIFS($AI$56:$AI$60,$V$56:$V$60,"Перл.ср.",$F$56:$F$60,19,$H$56:$H$60,1)+SUMIFS($AI$56:$AI$60,$V$56:$V$60,"Перл.зол.",$F$56:$F$60,19,$H$56:$H$60,1)</f>
        <v>0</v>
      </c>
      <c r="L305" s="254"/>
      <c r="M305" s="255">
        <f>Прайс!$J$76</f>
        <v>6680</v>
      </c>
      <c r="N305" s="245">
        <f t="shared" si="5"/>
        <v>0</v>
      </c>
      <c r="O305" s="254"/>
      <c r="P305" s="234"/>
      <c r="Q305" s="234"/>
      <c r="R305" s="233"/>
      <c r="S305" s="204"/>
      <c r="T305" s="205"/>
      <c r="U305" s="235"/>
      <c r="V305" s="235"/>
      <c r="AG305" s="236"/>
      <c r="AH305" s="236"/>
      <c r="AI305" s="236"/>
      <c r="AJ305" s="236"/>
      <c r="AK305" s="236"/>
      <c r="AL305" s="236"/>
      <c r="AM305" s="236"/>
      <c r="AN305" s="236"/>
      <c r="AO305" s="236"/>
      <c r="AP305" s="236"/>
      <c r="AQ305" s="237"/>
    </row>
    <row r="306" spans="1:43" ht="15.75" x14ac:dyDescent="0.25">
      <c r="A306" s="163">
        <v>221</v>
      </c>
      <c r="B306" s="233" t="s">
        <v>631</v>
      </c>
      <c r="C306" s="233"/>
      <c r="D306" s="233"/>
      <c r="E306" s="233"/>
      <c r="F306" s="233"/>
      <c r="G306" s="233"/>
      <c r="H306" s="233"/>
      <c r="I306" s="233"/>
      <c r="J306" s="233" t="s">
        <v>376</v>
      </c>
      <c r="K306" s="243">
        <f>SUMIFS($AI$56:$AI$60,$V$56:$V$60,"Перл.ср.",$F$56:$F$60,19,$H$56:$H$60,2)+SUMIFS($AI$56:$AI$60,$V$56:$V$60,"Перл.зол.",$F$56:$F$60,19,$H$56:$H$60,2)</f>
        <v>0</v>
      </c>
      <c r="L306" s="254"/>
      <c r="M306" s="255">
        <f>Прайс!$K$76</f>
        <v>7100</v>
      </c>
      <c r="N306" s="245">
        <f t="shared" si="5"/>
        <v>0</v>
      </c>
      <c r="O306" s="254"/>
      <c r="P306" s="234"/>
      <c r="Q306" s="234"/>
      <c r="R306" s="233"/>
      <c r="S306" s="204"/>
      <c r="T306" s="205"/>
      <c r="U306" s="235"/>
      <c r="V306" s="235"/>
      <c r="AG306" s="236"/>
      <c r="AH306" s="236"/>
      <c r="AI306" s="236"/>
      <c r="AJ306" s="236"/>
      <c r="AK306" s="236"/>
      <c r="AL306" s="236"/>
      <c r="AM306" s="236"/>
      <c r="AN306" s="236"/>
      <c r="AO306" s="236"/>
      <c r="AP306" s="236"/>
      <c r="AQ306" s="237"/>
    </row>
    <row r="307" spans="1:43" ht="15.75" x14ac:dyDescent="0.25">
      <c r="A307" s="163">
        <v>222</v>
      </c>
      <c r="B307" s="233" t="s">
        <v>632</v>
      </c>
      <c r="C307" s="233"/>
      <c r="D307" s="233"/>
      <c r="E307" s="233"/>
      <c r="F307" s="233"/>
      <c r="G307" s="233"/>
      <c r="H307" s="233"/>
      <c r="I307" s="233"/>
      <c r="J307" s="233" t="s">
        <v>376</v>
      </c>
      <c r="K307" s="243"/>
      <c r="L307" s="254"/>
      <c r="M307" s="255"/>
      <c r="N307" s="245">
        <f t="shared" si="5"/>
        <v>0</v>
      </c>
      <c r="O307" s="254"/>
      <c r="P307" s="234"/>
      <c r="Q307" s="234"/>
      <c r="R307" s="233"/>
      <c r="S307" s="204"/>
      <c r="T307" s="205"/>
      <c r="U307" s="235"/>
      <c r="V307" s="235"/>
      <c r="AG307" s="236"/>
      <c r="AH307" s="236"/>
      <c r="AI307" s="236"/>
      <c r="AJ307" s="236"/>
      <c r="AK307" s="236"/>
      <c r="AL307" s="236"/>
      <c r="AM307" s="236"/>
      <c r="AN307" s="236"/>
      <c r="AO307" s="236"/>
      <c r="AP307" s="236"/>
      <c r="AQ307" s="237"/>
    </row>
    <row r="308" spans="1:43" ht="15.75" x14ac:dyDescent="0.25">
      <c r="A308" s="163">
        <v>223</v>
      </c>
      <c r="B308" s="233" t="s">
        <v>633</v>
      </c>
      <c r="C308" s="233"/>
      <c r="D308" s="233"/>
      <c r="E308" s="233"/>
      <c r="F308" s="233"/>
      <c r="G308" s="233"/>
      <c r="H308" s="233"/>
      <c r="I308" s="233"/>
      <c r="J308" s="233" t="s">
        <v>376</v>
      </c>
      <c r="K308" s="243"/>
      <c r="L308" s="254"/>
      <c r="M308" s="255"/>
      <c r="N308" s="245">
        <f t="shared" si="5"/>
        <v>0</v>
      </c>
      <c r="O308" s="254"/>
      <c r="P308" s="234"/>
      <c r="Q308" s="234"/>
      <c r="R308" s="233"/>
      <c r="S308" s="204"/>
      <c r="T308" s="205"/>
      <c r="U308" s="235"/>
      <c r="V308" s="235"/>
      <c r="AG308" s="236"/>
      <c r="AH308" s="236"/>
      <c r="AI308" s="236"/>
      <c r="AJ308" s="236"/>
      <c r="AK308" s="236"/>
      <c r="AL308" s="236"/>
      <c r="AM308" s="236"/>
      <c r="AN308" s="236"/>
      <c r="AO308" s="236"/>
      <c r="AP308" s="236"/>
      <c r="AQ308" s="237"/>
    </row>
    <row r="309" spans="1:43" s="311" customFormat="1" ht="15.75" x14ac:dyDescent="0.25">
      <c r="A309" s="163">
        <v>224</v>
      </c>
      <c r="B309" s="303" t="s">
        <v>634</v>
      </c>
      <c r="C309" s="303"/>
      <c r="D309" s="303"/>
      <c r="E309" s="303"/>
      <c r="F309" s="303"/>
      <c r="G309" s="303"/>
      <c r="H309" s="303"/>
      <c r="I309" s="303"/>
      <c r="J309" s="303" t="s">
        <v>376</v>
      </c>
      <c r="K309" s="243">
        <f>SUMIFS($AI$56:$AI$60,$V$56:$V$60,"Металік",$F$56:$F$60,16,$H$56:$H$60,1)</f>
        <v>0</v>
      </c>
      <c r="L309" s="305"/>
      <c r="M309" s="306">
        <f>Прайс!$H$78</f>
        <v>6750</v>
      </c>
      <c r="N309" s="245">
        <f t="shared" si="5"/>
        <v>0</v>
      </c>
      <c r="O309" s="305"/>
      <c r="P309" s="307"/>
      <c r="Q309" s="307"/>
      <c r="R309" s="303"/>
      <c r="S309" s="308"/>
      <c r="T309" s="309"/>
      <c r="U309" s="310"/>
      <c r="V309" s="310"/>
      <c r="AG309" s="312"/>
      <c r="AH309" s="312"/>
      <c r="AI309" s="312"/>
      <c r="AJ309" s="312"/>
      <c r="AK309" s="312"/>
      <c r="AL309" s="312"/>
      <c r="AM309" s="312"/>
      <c r="AN309" s="312"/>
      <c r="AO309" s="312"/>
      <c r="AP309" s="312"/>
      <c r="AQ309" s="313"/>
    </row>
    <row r="310" spans="1:43" s="311" customFormat="1" ht="15.75" x14ac:dyDescent="0.25">
      <c r="A310" s="163">
        <v>225</v>
      </c>
      <c r="B310" s="303" t="s">
        <v>635</v>
      </c>
      <c r="C310" s="303"/>
      <c r="D310" s="303"/>
      <c r="E310" s="303"/>
      <c r="F310" s="303"/>
      <c r="G310" s="303"/>
      <c r="H310" s="303"/>
      <c r="I310" s="303"/>
      <c r="J310" s="303" t="s">
        <v>376</v>
      </c>
      <c r="K310" s="243">
        <f>SUMIFS($AI$56:$AI$60,$V$56:$V$60,"Металік",$F$56:$F$60,16,$H$56:$H$60,2)</f>
        <v>0</v>
      </c>
      <c r="L310" s="305"/>
      <c r="M310" s="306">
        <f>Прайс!$I$78</f>
        <v>7170</v>
      </c>
      <c r="N310" s="245">
        <f t="shared" si="5"/>
        <v>0</v>
      </c>
      <c r="O310" s="305"/>
      <c r="P310" s="307"/>
      <c r="Q310" s="307"/>
      <c r="R310" s="303"/>
      <c r="S310" s="308"/>
      <c r="T310" s="309"/>
      <c r="U310" s="310"/>
      <c r="V310" s="310"/>
      <c r="AG310" s="312"/>
      <c r="AH310" s="312"/>
      <c r="AI310" s="312"/>
      <c r="AJ310" s="312"/>
      <c r="AK310" s="312"/>
      <c r="AL310" s="312"/>
      <c r="AM310" s="312"/>
      <c r="AN310" s="312"/>
      <c r="AO310" s="312"/>
      <c r="AP310" s="312"/>
      <c r="AQ310" s="313"/>
    </row>
    <row r="311" spans="1:43" s="311" customFormat="1" ht="15.75" x14ac:dyDescent="0.25">
      <c r="A311" s="163">
        <v>226</v>
      </c>
      <c r="B311" s="303" t="s">
        <v>636</v>
      </c>
      <c r="C311" s="303"/>
      <c r="D311" s="303"/>
      <c r="E311" s="303"/>
      <c r="F311" s="303"/>
      <c r="G311" s="303"/>
      <c r="H311" s="303"/>
      <c r="I311" s="303"/>
      <c r="J311" s="303" t="s">
        <v>376</v>
      </c>
      <c r="K311" s="243">
        <f>SUMIFS($AI$56:$AI$60,$V$56:$V$60,"Металік",$F$56:$F$60,19,$H$56:$H$60,1)</f>
        <v>0</v>
      </c>
      <c r="L311" s="305"/>
      <c r="M311" s="306">
        <f>Прайс!$J$78</f>
        <v>6820</v>
      </c>
      <c r="N311" s="245">
        <f t="shared" si="5"/>
        <v>0</v>
      </c>
      <c r="O311" s="305"/>
      <c r="P311" s="307"/>
      <c r="Q311" s="307"/>
      <c r="R311" s="303"/>
      <c r="S311" s="308"/>
      <c r="T311" s="309"/>
      <c r="U311" s="310"/>
      <c r="V311" s="310"/>
      <c r="AG311" s="312"/>
      <c r="AH311" s="312"/>
      <c r="AI311" s="312"/>
      <c r="AJ311" s="312"/>
      <c r="AK311" s="312"/>
      <c r="AL311" s="312"/>
      <c r="AM311" s="312"/>
      <c r="AN311" s="312"/>
      <c r="AO311" s="312"/>
      <c r="AP311" s="312"/>
      <c r="AQ311" s="313"/>
    </row>
    <row r="312" spans="1:43" s="311" customFormat="1" ht="15.75" x14ac:dyDescent="0.25">
      <c r="A312" s="163">
        <v>227</v>
      </c>
      <c r="B312" s="303" t="s">
        <v>637</v>
      </c>
      <c r="C312" s="303"/>
      <c r="D312" s="303"/>
      <c r="E312" s="303"/>
      <c r="F312" s="303"/>
      <c r="G312" s="303"/>
      <c r="H312" s="303"/>
      <c r="I312" s="303"/>
      <c r="J312" s="303" t="s">
        <v>376</v>
      </c>
      <c r="K312" s="243">
        <f>SUMIFS($AI$56:$AI$60,$V$56:$V$60,"Металік",$F$56:$F$60,19,$H$56:$H$60,2)</f>
        <v>0</v>
      </c>
      <c r="L312" s="305"/>
      <c r="M312" s="306">
        <f>Прайс!$K$78</f>
        <v>7240</v>
      </c>
      <c r="N312" s="245">
        <f t="shared" si="5"/>
        <v>0</v>
      </c>
      <c r="O312" s="305"/>
      <c r="P312" s="307"/>
      <c r="Q312" s="307"/>
      <c r="R312" s="303"/>
      <c r="S312" s="308"/>
      <c r="T312" s="309"/>
      <c r="U312" s="310"/>
      <c r="V312" s="310"/>
      <c r="AG312" s="312"/>
      <c r="AH312" s="312"/>
      <c r="AI312" s="312"/>
      <c r="AJ312" s="312"/>
      <c r="AK312" s="312"/>
      <c r="AL312" s="312"/>
      <c r="AM312" s="312"/>
      <c r="AN312" s="312"/>
      <c r="AO312" s="312"/>
      <c r="AP312" s="312"/>
      <c r="AQ312" s="313"/>
    </row>
    <row r="313" spans="1:43" s="311" customFormat="1" ht="15.75" x14ac:dyDescent="0.25">
      <c r="A313" s="163">
        <v>228</v>
      </c>
      <c r="B313" s="303" t="s">
        <v>638</v>
      </c>
      <c r="C313" s="303"/>
      <c r="D313" s="303"/>
      <c r="E313" s="303"/>
      <c r="F313" s="303"/>
      <c r="G313" s="303"/>
      <c r="H313" s="303"/>
      <c r="I313" s="303"/>
      <c r="J313" s="303" t="s">
        <v>376</v>
      </c>
      <c r="K313" s="243"/>
      <c r="L313" s="305"/>
      <c r="M313" s="306"/>
      <c r="N313" s="245">
        <f t="shared" si="5"/>
        <v>0</v>
      </c>
      <c r="O313" s="305"/>
      <c r="P313" s="307"/>
      <c r="Q313" s="307"/>
      <c r="R313" s="303"/>
      <c r="S313" s="308"/>
      <c r="T313" s="309"/>
      <c r="U313" s="310"/>
      <c r="V313" s="310"/>
      <c r="AG313" s="312"/>
      <c r="AH313" s="312"/>
      <c r="AI313" s="312"/>
      <c r="AJ313" s="312"/>
      <c r="AK313" s="312"/>
      <c r="AL313" s="312"/>
      <c r="AM313" s="312"/>
      <c r="AN313" s="312"/>
      <c r="AO313" s="312"/>
      <c r="AP313" s="312"/>
      <c r="AQ313" s="313"/>
    </row>
    <row r="314" spans="1:43" s="311" customFormat="1" ht="15.75" x14ac:dyDescent="0.25">
      <c r="A314" s="163">
        <v>229</v>
      </c>
      <c r="B314" s="303" t="s">
        <v>639</v>
      </c>
      <c r="C314" s="303"/>
      <c r="D314" s="303"/>
      <c r="E314" s="303"/>
      <c r="F314" s="303"/>
      <c r="G314" s="303"/>
      <c r="H314" s="303"/>
      <c r="I314" s="303"/>
      <c r="J314" s="303" t="s">
        <v>376</v>
      </c>
      <c r="K314" s="243"/>
      <c r="L314" s="305"/>
      <c r="M314" s="306"/>
      <c r="N314" s="245">
        <f t="shared" si="5"/>
        <v>0</v>
      </c>
      <c r="O314" s="305"/>
      <c r="P314" s="307"/>
      <c r="Q314" s="307"/>
      <c r="R314" s="303"/>
      <c r="S314" s="308"/>
      <c r="T314" s="309"/>
      <c r="U314" s="310"/>
      <c r="V314" s="310"/>
      <c r="AG314" s="312"/>
      <c r="AH314" s="312"/>
      <c r="AI314" s="312"/>
      <c r="AJ314" s="312"/>
      <c r="AK314" s="312"/>
      <c r="AL314" s="312"/>
      <c r="AM314" s="312"/>
      <c r="AN314" s="312"/>
      <c r="AO314" s="312"/>
      <c r="AP314" s="312"/>
      <c r="AQ314" s="313"/>
    </row>
    <row r="315" spans="1:43" ht="15.75" x14ac:dyDescent="0.25">
      <c r="A315" s="163">
        <v>230</v>
      </c>
      <c r="B315" s="233" t="s">
        <v>654</v>
      </c>
      <c r="C315" s="233"/>
      <c r="D315" s="233"/>
      <c r="E315" s="233"/>
      <c r="F315" s="233"/>
      <c r="G315" s="233"/>
      <c r="H315" s="233"/>
      <c r="I315" s="233"/>
      <c r="J315" s="233" t="s">
        <v>376</v>
      </c>
      <c r="K315" s="243">
        <f>SUMIFS($AI$56:$AI$60,$V$56:$V$60,"Гума",$F$56:$F$60,16,$H$56:$H$60,1)</f>
        <v>0</v>
      </c>
      <c r="L315" s="254"/>
      <c r="M315" s="255">
        <f>Прайс!$I$77</f>
        <v>7030</v>
      </c>
      <c r="N315" s="245">
        <f t="shared" si="5"/>
        <v>0</v>
      </c>
      <c r="O315" s="254"/>
      <c r="P315" s="234"/>
      <c r="Q315" s="234"/>
      <c r="R315" s="233"/>
      <c r="S315" s="204"/>
      <c r="T315" s="205"/>
      <c r="U315" s="235"/>
      <c r="V315" s="235"/>
      <c r="AG315" s="236"/>
      <c r="AH315" s="236"/>
      <c r="AI315" s="236"/>
      <c r="AJ315" s="236"/>
      <c r="AK315" s="236"/>
      <c r="AL315" s="236"/>
      <c r="AM315" s="236"/>
      <c r="AN315" s="236"/>
      <c r="AO315" s="236"/>
      <c r="AP315" s="236"/>
      <c r="AQ315" s="237"/>
    </row>
    <row r="316" spans="1:43" ht="15.75" x14ac:dyDescent="0.25">
      <c r="A316" s="163">
        <v>231</v>
      </c>
      <c r="B316" s="233" t="s">
        <v>655</v>
      </c>
      <c r="C316" s="233"/>
      <c r="D316" s="233"/>
      <c r="E316" s="233"/>
      <c r="F316" s="233"/>
      <c r="G316" s="233"/>
      <c r="H316" s="233"/>
      <c r="I316" s="233"/>
      <c r="J316" s="233" t="s">
        <v>376</v>
      </c>
      <c r="K316" s="243">
        <f>SUMIFS($AI$56:$AI$60,$V$56:$V$60,"Гума",$F$56:$F$60,16,$H$56:$H$60,2)</f>
        <v>0</v>
      </c>
      <c r="L316" s="254"/>
      <c r="M316" s="255">
        <f>Прайс!$I$77</f>
        <v>7030</v>
      </c>
      <c r="N316" s="245">
        <f t="shared" ref="N316:N379" si="6">K316*M316</f>
        <v>0</v>
      </c>
      <c r="O316" s="254"/>
      <c r="P316" s="234"/>
      <c r="Q316" s="234"/>
      <c r="R316" s="233"/>
      <c r="S316" s="204"/>
      <c r="T316" s="205"/>
      <c r="U316" s="235"/>
      <c r="V316" s="235"/>
      <c r="AG316" s="236"/>
      <c r="AH316" s="236"/>
      <c r="AI316" s="236"/>
      <c r="AJ316" s="236"/>
      <c r="AK316" s="236"/>
      <c r="AL316" s="236"/>
      <c r="AM316" s="236"/>
      <c r="AN316" s="236"/>
      <c r="AO316" s="236"/>
      <c r="AP316" s="236"/>
      <c r="AQ316" s="237"/>
    </row>
    <row r="317" spans="1:43" ht="15.75" x14ac:dyDescent="0.25">
      <c r="A317" s="163">
        <v>232</v>
      </c>
      <c r="B317" s="233" t="s">
        <v>656</v>
      </c>
      <c r="C317" s="233"/>
      <c r="D317" s="233"/>
      <c r="E317" s="233"/>
      <c r="F317" s="233"/>
      <c r="G317" s="233"/>
      <c r="H317" s="233"/>
      <c r="I317" s="233"/>
      <c r="J317" s="233" t="s">
        <v>376</v>
      </c>
      <c r="K317" s="243">
        <f>SUMIFS($AI$56:$AI$60,$V$56:$V$60,"Гума",$F$56:$F$60,19,$H$56:$H$60,1)</f>
        <v>0</v>
      </c>
      <c r="L317" s="254"/>
      <c r="M317" s="255">
        <f>Прайс!$J$77</f>
        <v>6680</v>
      </c>
      <c r="N317" s="245">
        <f t="shared" si="6"/>
        <v>0</v>
      </c>
      <c r="O317" s="254"/>
      <c r="P317" s="234"/>
      <c r="Q317" s="234"/>
      <c r="R317" s="233"/>
      <c r="S317" s="204"/>
      <c r="T317" s="205"/>
      <c r="U317" s="235"/>
      <c r="V317" s="235"/>
      <c r="AG317" s="236"/>
      <c r="AH317" s="236"/>
      <c r="AI317" s="236"/>
      <c r="AJ317" s="236"/>
      <c r="AK317" s="236"/>
      <c r="AL317" s="236"/>
      <c r="AM317" s="236"/>
      <c r="AN317" s="236"/>
      <c r="AO317" s="236"/>
      <c r="AP317" s="236"/>
      <c r="AQ317" s="237"/>
    </row>
    <row r="318" spans="1:43" ht="15.75" x14ac:dyDescent="0.25">
      <c r="A318" s="163">
        <v>233</v>
      </c>
      <c r="B318" s="233" t="s">
        <v>657</v>
      </c>
      <c r="C318" s="233"/>
      <c r="D318" s="233"/>
      <c r="E318" s="233"/>
      <c r="F318" s="233"/>
      <c r="G318" s="233"/>
      <c r="H318" s="233"/>
      <c r="I318" s="233"/>
      <c r="J318" s="233" t="s">
        <v>376</v>
      </c>
      <c r="K318" s="243">
        <f>SUMIFS($AI$56:$AI$60,$V$56:$V$60,"Гума",$F$56:$F$60,19,$H$56:$H$60,2)</f>
        <v>0</v>
      </c>
      <c r="L318" s="254"/>
      <c r="M318" s="255">
        <f>Прайс!$K$77</f>
        <v>7100</v>
      </c>
      <c r="N318" s="245">
        <f t="shared" si="6"/>
        <v>0</v>
      </c>
      <c r="O318" s="254"/>
      <c r="P318" s="234"/>
      <c r="Q318" s="234"/>
      <c r="R318" s="233"/>
      <c r="S318" s="204"/>
      <c r="T318" s="205"/>
      <c r="U318" s="235"/>
      <c r="V318" s="235"/>
      <c r="AG318" s="236"/>
      <c r="AH318" s="236"/>
      <c r="AI318" s="236"/>
      <c r="AJ318" s="236"/>
      <c r="AK318" s="236"/>
      <c r="AL318" s="236"/>
      <c r="AM318" s="236"/>
      <c r="AN318" s="236"/>
      <c r="AO318" s="236"/>
      <c r="AP318" s="236"/>
      <c r="AQ318" s="237"/>
    </row>
    <row r="319" spans="1:43" ht="15.75" x14ac:dyDescent="0.25">
      <c r="A319" s="163">
        <v>234</v>
      </c>
      <c r="B319" s="233" t="s">
        <v>658</v>
      </c>
      <c r="C319" s="233"/>
      <c r="D319" s="233"/>
      <c r="E319" s="233"/>
      <c r="F319" s="233"/>
      <c r="G319" s="233"/>
      <c r="H319" s="233"/>
      <c r="I319" s="233"/>
      <c r="J319" s="233" t="s">
        <v>376</v>
      </c>
      <c r="K319" s="243"/>
      <c r="L319" s="254"/>
      <c r="M319" s="255"/>
      <c r="N319" s="245">
        <f t="shared" si="6"/>
        <v>0</v>
      </c>
      <c r="O319" s="254"/>
      <c r="P319" s="234"/>
      <c r="Q319" s="234"/>
      <c r="R319" s="233"/>
      <c r="S319" s="204"/>
      <c r="T319" s="205"/>
      <c r="U319" s="235"/>
      <c r="V319" s="235"/>
      <c r="AG319" s="236"/>
      <c r="AH319" s="236"/>
      <c r="AI319" s="236"/>
      <c r="AJ319" s="236"/>
      <c r="AK319" s="236"/>
      <c r="AL319" s="236"/>
      <c r="AM319" s="236"/>
      <c r="AN319" s="236"/>
      <c r="AO319" s="236"/>
      <c r="AP319" s="236"/>
      <c r="AQ319" s="237"/>
    </row>
    <row r="320" spans="1:43" ht="15.75" x14ac:dyDescent="0.25">
      <c r="A320" s="163">
        <v>235</v>
      </c>
      <c r="B320" s="233" t="s">
        <v>659</v>
      </c>
      <c r="C320" s="233"/>
      <c r="D320" s="233"/>
      <c r="E320" s="233"/>
      <c r="F320" s="233"/>
      <c r="G320" s="233"/>
      <c r="H320" s="233"/>
      <c r="I320" s="233"/>
      <c r="J320" s="233" t="s">
        <v>376</v>
      </c>
      <c r="K320" s="243"/>
      <c r="L320" s="254"/>
      <c r="M320" s="255"/>
      <c r="N320" s="245">
        <f t="shared" si="6"/>
        <v>0</v>
      </c>
      <c r="O320" s="254"/>
      <c r="P320" s="234"/>
      <c r="Q320" s="234"/>
      <c r="R320" s="233"/>
      <c r="S320" s="204"/>
      <c r="T320" s="205"/>
      <c r="U320" s="235"/>
      <c r="V320" s="235"/>
      <c r="AG320" s="236"/>
      <c r="AH320" s="236"/>
      <c r="AI320" s="236"/>
      <c r="AJ320" s="236"/>
      <c r="AK320" s="236"/>
      <c r="AL320" s="236"/>
      <c r="AM320" s="236"/>
      <c r="AN320" s="236"/>
      <c r="AO320" s="236"/>
      <c r="AP320" s="236"/>
      <c r="AQ320" s="237"/>
    </row>
    <row r="321" spans="1:43" s="311" customFormat="1" ht="15.75" x14ac:dyDescent="0.25">
      <c r="A321" s="163">
        <v>236</v>
      </c>
      <c r="B321" s="303" t="s">
        <v>640</v>
      </c>
      <c r="C321" s="303"/>
      <c r="D321" s="303"/>
      <c r="E321" s="303"/>
      <c r="F321" s="303"/>
      <c r="G321" s="303"/>
      <c r="H321" s="303"/>
      <c r="I321" s="303"/>
      <c r="J321" s="303" t="s">
        <v>376</v>
      </c>
      <c r="K321" s="243">
        <f>SUMIFS($AI$56:$AI$60,$V$56:$V$60,"Рідке скло",$F$56:$F$60,16,$H$56:$H$60,1)</f>
        <v>0</v>
      </c>
      <c r="L321" s="305"/>
      <c r="M321" s="306">
        <f>Прайс!$H$79</f>
        <v>6750</v>
      </c>
      <c r="N321" s="245">
        <f t="shared" si="6"/>
        <v>0</v>
      </c>
      <c r="O321" s="305"/>
      <c r="P321" s="307"/>
      <c r="Q321" s="307"/>
      <c r="R321" s="303"/>
      <c r="S321" s="308"/>
      <c r="T321" s="309"/>
      <c r="U321" s="310"/>
      <c r="V321" s="310"/>
      <c r="AG321" s="312"/>
      <c r="AH321" s="312"/>
      <c r="AI321" s="312"/>
      <c r="AJ321" s="312"/>
      <c r="AK321" s="312"/>
      <c r="AL321" s="312"/>
      <c r="AM321" s="312"/>
      <c r="AN321" s="312"/>
      <c r="AO321" s="312"/>
      <c r="AP321" s="312"/>
      <c r="AQ321" s="313"/>
    </row>
    <row r="322" spans="1:43" s="311" customFormat="1" ht="15.75" x14ac:dyDescent="0.25">
      <c r="A322" s="163">
        <v>237</v>
      </c>
      <c r="B322" s="303" t="s">
        <v>641</v>
      </c>
      <c r="C322" s="303"/>
      <c r="D322" s="303"/>
      <c r="E322" s="303"/>
      <c r="F322" s="303"/>
      <c r="G322" s="303"/>
      <c r="H322" s="303"/>
      <c r="I322" s="303"/>
      <c r="J322" s="303" t="s">
        <v>376</v>
      </c>
      <c r="K322" s="243">
        <f>SUMIFS($AI$56:$AI$60,$V$56:$V$60,"Рідке скло",$F$56:$F$60,16,$H$56:$H$60,2)</f>
        <v>0</v>
      </c>
      <c r="L322" s="305"/>
      <c r="M322" s="306">
        <f>Прайс!$I$79</f>
        <v>7170</v>
      </c>
      <c r="N322" s="245">
        <f t="shared" si="6"/>
        <v>0</v>
      </c>
      <c r="O322" s="305"/>
      <c r="P322" s="307"/>
      <c r="Q322" s="307"/>
      <c r="R322" s="303"/>
      <c r="S322" s="308"/>
      <c r="T322" s="309"/>
      <c r="U322" s="310"/>
      <c r="V322" s="310"/>
      <c r="AG322" s="312"/>
      <c r="AH322" s="312"/>
      <c r="AI322" s="312"/>
      <c r="AJ322" s="312"/>
      <c r="AK322" s="312"/>
      <c r="AL322" s="312"/>
      <c r="AM322" s="312"/>
      <c r="AN322" s="312"/>
      <c r="AO322" s="312"/>
      <c r="AP322" s="312"/>
      <c r="AQ322" s="313"/>
    </row>
    <row r="323" spans="1:43" s="311" customFormat="1" ht="15.75" x14ac:dyDescent="0.25">
      <c r="A323" s="163">
        <v>238</v>
      </c>
      <c r="B323" s="303" t="s">
        <v>642</v>
      </c>
      <c r="C323" s="303"/>
      <c r="D323" s="303"/>
      <c r="E323" s="303"/>
      <c r="F323" s="303"/>
      <c r="G323" s="303"/>
      <c r="H323" s="303"/>
      <c r="I323" s="303"/>
      <c r="J323" s="303" t="s">
        <v>376</v>
      </c>
      <c r="K323" s="243">
        <f>SUMIFS($AI$56:$AI$60,$V$56:$V$60,"Рідке скло",$F$56:$F$60,19,$H$56:$H$60,1)</f>
        <v>0</v>
      </c>
      <c r="L323" s="305"/>
      <c r="M323" s="306">
        <f>Прайс!$J$79</f>
        <v>6820</v>
      </c>
      <c r="N323" s="245">
        <f t="shared" si="6"/>
        <v>0</v>
      </c>
      <c r="O323" s="305"/>
      <c r="P323" s="307"/>
      <c r="Q323" s="307"/>
      <c r="R323" s="303"/>
      <c r="S323" s="308"/>
      <c r="T323" s="309"/>
      <c r="U323" s="310"/>
      <c r="V323" s="310"/>
      <c r="AG323" s="312"/>
      <c r="AH323" s="312"/>
      <c r="AI323" s="312"/>
      <c r="AJ323" s="312"/>
      <c r="AK323" s="312"/>
      <c r="AL323" s="312"/>
      <c r="AM323" s="312"/>
      <c r="AN323" s="312"/>
      <c r="AO323" s="312"/>
      <c r="AP323" s="312"/>
      <c r="AQ323" s="313"/>
    </row>
    <row r="324" spans="1:43" s="311" customFormat="1" ht="15.75" x14ac:dyDescent="0.25">
      <c r="A324" s="163">
        <v>239</v>
      </c>
      <c r="B324" s="303" t="s">
        <v>643</v>
      </c>
      <c r="C324" s="303"/>
      <c r="D324" s="303"/>
      <c r="E324" s="303"/>
      <c r="F324" s="303"/>
      <c r="G324" s="303"/>
      <c r="H324" s="303"/>
      <c r="I324" s="303"/>
      <c r="J324" s="303" t="s">
        <v>376</v>
      </c>
      <c r="K324" s="243">
        <f>SUMIFS($AI$56:$AI$60,$V$56:$V$60,"Рідке скло",$F$56:$F$60,19,$H$56:$H$60,2)</f>
        <v>0</v>
      </c>
      <c r="L324" s="305"/>
      <c r="M324" s="306">
        <f>Прайс!$K$79</f>
        <v>7240</v>
      </c>
      <c r="N324" s="245">
        <f t="shared" si="6"/>
        <v>0</v>
      </c>
      <c r="O324" s="305"/>
      <c r="P324" s="307"/>
      <c r="Q324" s="307"/>
      <c r="R324" s="303"/>
      <c r="S324" s="308"/>
      <c r="T324" s="309"/>
      <c r="U324" s="310"/>
      <c r="V324" s="310"/>
      <c r="AG324" s="312"/>
      <c r="AH324" s="312"/>
      <c r="AI324" s="312"/>
      <c r="AJ324" s="312"/>
      <c r="AK324" s="312"/>
      <c r="AL324" s="312"/>
      <c r="AM324" s="312"/>
      <c r="AN324" s="312"/>
      <c r="AO324" s="312"/>
      <c r="AP324" s="312"/>
      <c r="AQ324" s="313"/>
    </row>
    <row r="325" spans="1:43" s="311" customFormat="1" ht="15.75" x14ac:dyDescent="0.25">
      <c r="A325" s="163">
        <v>240</v>
      </c>
      <c r="B325" s="303" t="s">
        <v>644</v>
      </c>
      <c r="C325" s="303"/>
      <c r="D325" s="303"/>
      <c r="E325" s="303"/>
      <c r="F325" s="303"/>
      <c r="G325" s="303"/>
      <c r="H325" s="303"/>
      <c r="I325" s="303"/>
      <c r="J325" s="303" t="s">
        <v>376</v>
      </c>
      <c r="K325" s="243"/>
      <c r="L325" s="305"/>
      <c r="M325" s="306"/>
      <c r="N325" s="245">
        <f t="shared" si="6"/>
        <v>0</v>
      </c>
      <c r="O325" s="305"/>
      <c r="P325" s="307"/>
      <c r="Q325" s="307"/>
      <c r="R325" s="303"/>
      <c r="S325" s="308"/>
      <c r="T325" s="309"/>
      <c r="U325" s="310"/>
      <c r="V325" s="310"/>
      <c r="AG325" s="312"/>
      <c r="AH325" s="312"/>
      <c r="AI325" s="312"/>
      <c r="AJ325" s="312"/>
      <c r="AK325" s="312"/>
      <c r="AL325" s="312"/>
      <c r="AM325" s="312"/>
      <c r="AN325" s="312"/>
      <c r="AO325" s="312"/>
      <c r="AP325" s="312"/>
      <c r="AQ325" s="313"/>
    </row>
    <row r="326" spans="1:43" s="311" customFormat="1" ht="15.75" x14ac:dyDescent="0.25">
      <c r="A326" s="163">
        <v>241</v>
      </c>
      <c r="B326" s="303" t="s">
        <v>645</v>
      </c>
      <c r="C326" s="303"/>
      <c r="D326" s="303"/>
      <c r="E326" s="303"/>
      <c r="F326" s="303"/>
      <c r="G326" s="303"/>
      <c r="H326" s="303"/>
      <c r="I326" s="303"/>
      <c r="J326" s="303" t="s">
        <v>376</v>
      </c>
      <c r="K326" s="243"/>
      <c r="L326" s="305"/>
      <c r="M326" s="306"/>
      <c r="N326" s="245">
        <f t="shared" si="6"/>
        <v>0</v>
      </c>
      <c r="O326" s="305" t="s">
        <v>627</v>
      </c>
      <c r="P326" s="307"/>
      <c r="Q326" s="307"/>
      <c r="R326" s="303"/>
      <c r="S326" s="308"/>
      <c r="T326" s="309"/>
      <c r="U326" s="310"/>
      <c r="V326" s="310"/>
      <c r="AG326" s="312"/>
      <c r="AH326" s="312"/>
      <c r="AI326" s="312"/>
      <c r="AJ326" s="312"/>
      <c r="AK326" s="312"/>
      <c r="AL326" s="312"/>
      <c r="AM326" s="312"/>
      <c r="AN326" s="312"/>
      <c r="AO326" s="312"/>
      <c r="AP326" s="312"/>
      <c r="AQ326" s="313"/>
    </row>
    <row r="327" spans="1:43" ht="15.75" x14ac:dyDescent="0.25">
      <c r="A327" s="163">
        <v>242</v>
      </c>
      <c r="B327" s="233" t="s">
        <v>646</v>
      </c>
      <c r="C327" s="233"/>
      <c r="D327" s="233"/>
      <c r="E327" s="233"/>
      <c r="F327" s="233"/>
      <c r="G327" s="233"/>
      <c r="H327" s="233"/>
      <c r="I327" s="233"/>
      <c r="J327" s="233" t="s">
        <v>376</v>
      </c>
      <c r="K327" s="243">
        <f>SUMIFS($AI$56:$AI$60,$V$56:$V$60,"Перли",$F$56:$F$60,16,$H$56:$H$60,1)+SUMIFS($AI$56:$AI$60,$V$56:$V$60,"Графіт",$F$56:$F$60,16,$H$56:$H$60,1)</f>
        <v>0</v>
      </c>
      <c r="L327" s="254"/>
      <c r="M327" s="255">
        <f>Прайс!$H$80</f>
        <v>6890</v>
      </c>
      <c r="N327" s="245">
        <f t="shared" si="6"/>
        <v>0</v>
      </c>
      <c r="O327" s="254"/>
      <c r="P327" s="234"/>
      <c r="Q327" s="234"/>
      <c r="R327" s="233"/>
      <c r="S327" s="204"/>
      <c r="T327" s="205"/>
      <c r="U327" s="235"/>
      <c r="V327" s="235"/>
      <c r="AG327" s="236"/>
      <c r="AH327" s="236"/>
      <c r="AI327" s="236"/>
      <c r="AJ327" s="236"/>
      <c r="AK327" s="236"/>
      <c r="AL327" s="236"/>
      <c r="AM327" s="236"/>
      <c r="AN327" s="236"/>
      <c r="AO327" s="236"/>
      <c r="AP327" s="236"/>
      <c r="AQ327" s="237"/>
    </row>
    <row r="328" spans="1:43" ht="15.75" x14ac:dyDescent="0.25">
      <c r="A328" s="163">
        <v>243</v>
      </c>
      <c r="B328" s="233" t="s">
        <v>647</v>
      </c>
      <c r="C328" s="233"/>
      <c r="D328" s="233"/>
      <c r="E328" s="233"/>
      <c r="F328" s="233"/>
      <c r="G328" s="233"/>
      <c r="H328" s="233"/>
      <c r="I328" s="233"/>
      <c r="J328" s="233" t="s">
        <v>376</v>
      </c>
      <c r="K328" s="243">
        <f>SUMIFS($AI$56:$AI$60,$V$56:$V$60,"Перли",$F$56:$F$60,16,$H$56:$H$60,2)+SUMIFS($AI$56:$AI$60,$V$56:$V$60,"Графіт",$F$56:$F$60,16,$H$56:$H$60,2)</f>
        <v>0</v>
      </c>
      <c r="L328" s="254"/>
      <c r="M328" s="255">
        <f>Прайс!$I$80</f>
        <v>7310</v>
      </c>
      <c r="N328" s="245">
        <f t="shared" si="6"/>
        <v>0</v>
      </c>
      <c r="O328" s="254"/>
      <c r="P328" s="234"/>
      <c r="Q328" s="234"/>
      <c r="R328" s="233"/>
      <c r="S328" s="204"/>
      <c r="T328" s="205"/>
      <c r="U328" s="235"/>
      <c r="V328" s="235"/>
      <c r="AG328" s="236"/>
      <c r="AH328" s="236"/>
      <c r="AI328" s="236"/>
      <c r="AJ328" s="236"/>
      <c r="AK328" s="236"/>
      <c r="AL328" s="236"/>
      <c r="AM328" s="236"/>
      <c r="AN328" s="236"/>
      <c r="AO328" s="236"/>
      <c r="AP328" s="236"/>
      <c r="AQ328" s="237"/>
    </row>
    <row r="329" spans="1:43" ht="15.75" x14ac:dyDescent="0.25">
      <c r="A329" s="163">
        <v>244</v>
      </c>
      <c r="B329" s="233" t="s">
        <v>648</v>
      </c>
      <c r="C329" s="233"/>
      <c r="D329" s="233"/>
      <c r="E329" s="233"/>
      <c r="F329" s="233"/>
      <c r="G329" s="233"/>
      <c r="H329" s="233"/>
      <c r="I329" s="233"/>
      <c r="J329" s="233" t="s">
        <v>376</v>
      </c>
      <c r="K329" s="243">
        <f>SUMIFS($AI$56:$AI$60,$V$56:$V$60,"Перли",$F$56:$F$60,19,$H$56:$H$60,1)+SUMIFS($AI$56:$AI$60,$V$56:$V$60,"Графіт",$F$56:$F$60,19,$H$56:$H$60,1)</f>
        <v>0</v>
      </c>
      <c r="L329" s="254"/>
      <c r="M329" s="255">
        <f>Прайс!$J$80</f>
        <v>6960</v>
      </c>
      <c r="N329" s="245">
        <f t="shared" si="6"/>
        <v>0</v>
      </c>
      <c r="O329" s="254"/>
      <c r="P329" s="234"/>
      <c r="Q329" s="234"/>
      <c r="R329" s="233"/>
      <c r="S329" s="204"/>
      <c r="T329" s="205"/>
      <c r="U329" s="235"/>
      <c r="V329" s="235"/>
      <c r="AG329" s="236"/>
      <c r="AH329" s="236"/>
      <c r="AI329" s="236"/>
      <c r="AJ329" s="236"/>
      <c r="AK329" s="236"/>
      <c r="AL329" s="236"/>
      <c r="AM329" s="236"/>
      <c r="AN329" s="236"/>
      <c r="AO329" s="236"/>
      <c r="AP329" s="236"/>
      <c r="AQ329" s="237"/>
    </row>
    <row r="330" spans="1:43" ht="15.75" x14ac:dyDescent="0.25">
      <c r="A330" s="163">
        <v>245</v>
      </c>
      <c r="B330" s="233" t="s">
        <v>649</v>
      </c>
      <c r="C330" s="233"/>
      <c r="D330" s="233"/>
      <c r="E330" s="233"/>
      <c r="F330" s="233"/>
      <c r="G330" s="233"/>
      <c r="H330" s="233"/>
      <c r="I330" s="233"/>
      <c r="J330" s="233" t="s">
        <v>376</v>
      </c>
      <c r="K330" s="243">
        <f>SUMIFS($AI$56:$AI$60,$V$56:$V$60,"Перли",$F$56:$F$60,19,$H$56:$H$60,2)+SUMIFS($AI$56:$AI$60,$V$56:$V$60,"Графіт",$F$56:$F$60,19,$H$56:$H$60,2)</f>
        <v>0</v>
      </c>
      <c r="L330" s="254"/>
      <c r="M330" s="255">
        <f>Прайс!$K$80</f>
        <v>7380</v>
      </c>
      <c r="N330" s="245">
        <f t="shared" si="6"/>
        <v>0</v>
      </c>
      <c r="O330" s="254"/>
      <c r="P330" s="234"/>
      <c r="Q330" s="234"/>
      <c r="R330" s="233"/>
      <c r="S330" s="204"/>
      <c r="T330" s="205"/>
      <c r="U330" s="235"/>
      <c r="V330" s="235"/>
      <c r="AG330" s="236"/>
      <c r="AH330" s="236"/>
      <c r="AI330" s="236"/>
      <c r="AJ330" s="236"/>
      <c r="AK330" s="236"/>
      <c r="AL330" s="236"/>
      <c r="AM330" s="236"/>
      <c r="AN330" s="236"/>
      <c r="AO330" s="236"/>
      <c r="AP330" s="236"/>
      <c r="AQ330" s="237"/>
    </row>
    <row r="331" spans="1:43" ht="15.75" x14ac:dyDescent="0.25">
      <c r="A331" s="163">
        <v>246</v>
      </c>
      <c r="B331" s="233" t="s">
        <v>650</v>
      </c>
      <c r="C331" s="233"/>
      <c r="D331" s="233"/>
      <c r="E331" s="233"/>
      <c r="F331" s="233"/>
      <c r="G331" s="233"/>
      <c r="H331" s="233"/>
      <c r="I331" s="233"/>
      <c r="J331" s="233" t="s">
        <v>376</v>
      </c>
      <c r="K331" s="243"/>
      <c r="L331" s="254"/>
      <c r="M331" s="255"/>
      <c r="N331" s="245">
        <f t="shared" si="6"/>
        <v>0</v>
      </c>
      <c r="O331" s="254"/>
      <c r="P331" s="234"/>
      <c r="Q331" s="234"/>
      <c r="R331" s="233"/>
      <c r="S331" s="204"/>
      <c r="T331" s="205"/>
      <c r="U331" s="235"/>
      <c r="V331" s="235"/>
      <c r="AG331" s="236"/>
      <c r="AH331" s="236"/>
      <c r="AI331" s="236"/>
      <c r="AJ331" s="236"/>
      <c r="AK331" s="236"/>
      <c r="AL331" s="236"/>
      <c r="AM331" s="236"/>
      <c r="AN331" s="236"/>
      <c r="AO331" s="236"/>
      <c r="AP331" s="236"/>
      <c r="AQ331" s="237"/>
    </row>
    <row r="332" spans="1:43" ht="15.75" x14ac:dyDescent="0.25">
      <c r="A332" s="163">
        <v>247</v>
      </c>
      <c r="B332" s="233" t="s">
        <v>651</v>
      </c>
      <c r="C332" s="233"/>
      <c r="D332" s="233"/>
      <c r="E332" s="233"/>
      <c r="F332" s="233"/>
      <c r="G332" s="233"/>
      <c r="H332" s="233"/>
      <c r="I332" s="233"/>
      <c r="J332" s="233" t="s">
        <v>376</v>
      </c>
      <c r="K332" s="243"/>
      <c r="L332" s="254"/>
      <c r="M332" s="255"/>
      <c r="N332" s="245">
        <f t="shared" si="6"/>
        <v>0</v>
      </c>
      <c r="O332" s="254"/>
      <c r="P332" s="234"/>
      <c r="Q332" s="234"/>
      <c r="R332" s="233"/>
      <c r="S332" s="204"/>
      <c r="T332" s="205"/>
      <c r="U332" s="235"/>
      <c r="V332" s="235"/>
      <c r="AG332" s="236"/>
      <c r="AH332" s="236"/>
      <c r="AI332" s="236"/>
      <c r="AJ332" s="236"/>
      <c r="AK332" s="236"/>
      <c r="AL332" s="236"/>
      <c r="AM332" s="236"/>
      <c r="AN332" s="236"/>
      <c r="AO332" s="236"/>
      <c r="AP332" s="236"/>
      <c r="AQ332" s="237"/>
    </row>
    <row r="333" spans="1:43" s="311" customFormat="1" ht="15.75" x14ac:dyDescent="0.25">
      <c r="A333" s="163">
        <v>248</v>
      </c>
      <c r="B333" s="303" t="s">
        <v>660</v>
      </c>
      <c r="C333" s="303"/>
      <c r="D333" s="303"/>
      <c r="E333" s="303"/>
      <c r="F333" s="303"/>
      <c r="G333" s="303"/>
      <c r="H333" s="303"/>
      <c r="I333" s="303"/>
      <c r="J333" s="303" t="s">
        <v>376</v>
      </c>
      <c r="K333" s="243">
        <f>SUMIFS($AI$56:$AI$60,$V$56:$V$60,"Зор.н.ср.",$F$56:$F$60,16,$H$56:$H$60,1)+SUMIFS($AI$56:$AI$60,$V$56:$V$60,"Зор.н.зол.",$F$56:$F$60,16,$H$56:$H$60,1)+SUMIFS($AI$56:$AI$60,$V$56:$V$60,"Зор.н.різн.",$F$56:$F$60,16,$H$56:$H$60,1)</f>
        <v>0</v>
      </c>
      <c r="L333" s="305"/>
      <c r="M333" s="306">
        <f>Прайс!$H$81</f>
        <v>7030</v>
      </c>
      <c r="N333" s="245">
        <f t="shared" si="6"/>
        <v>0</v>
      </c>
      <c r="O333" s="305"/>
      <c r="P333" s="307"/>
      <c r="Q333" s="307"/>
      <c r="R333" s="303"/>
      <c r="S333" s="308"/>
      <c r="T333" s="309"/>
      <c r="U333" s="310"/>
      <c r="V333" s="310"/>
      <c r="AG333" s="312"/>
      <c r="AH333" s="312"/>
      <c r="AI333" s="312"/>
      <c r="AJ333" s="312"/>
      <c r="AK333" s="312"/>
      <c r="AL333" s="312"/>
      <c r="AM333" s="312"/>
      <c r="AN333" s="312"/>
      <c r="AO333" s="312"/>
      <c r="AP333" s="312"/>
      <c r="AQ333" s="313"/>
    </row>
    <row r="334" spans="1:43" s="311" customFormat="1" ht="15.75" x14ac:dyDescent="0.25">
      <c r="A334" s="163">
        <v>249</v>
      </c>
      <c r="B334" s="303" t="s">
        <v>661</v>
      </c>
      <c r="C334" s="303"/>
      <c r="D334" s="303"/>
      <c r="E334" s="303"/>
      <c r="F334" s="303"/>
      <c r="G334" s="303"/>
      <c r="H334" s="303"/>
      <c r="I334" s="303"/>
      <c r="J334" s="303" t="s">
        <v>376</v>
      </c>
      <c r="K334" s="243">
        <f>SUMIFS($AI$56:$AI$60,$V$56:$V$60,"Зор.н.ср.",$F$56:$F$60,16,$H$56:$H$60,2)+SUMIFS($AI$56:$AI$60,$V$56:$V$60,"Зор.н.зол.",$F$56:$F$60,16,$H$56:$H$60,2)+SUMIFS($AI$56:$AI$60,$V$56:$V$60,"Зор.н.різн.",$F$56:$F$60,16,$H$56:$H$60,2)</f>
        <v>0</v>
      </c>
      <c r="L334" s="305"/>
      <c r="M334" s="306">
        <f>Прайс!$I$81</f>
        <v>7450</v>
      </c>
      <c r="N334" s="245">
        <f t="shared" si="6"/>
        <v>0</v>
      </c>
      <c r="O334" s="305"/>
      <c r="P334" s="307"/>
      <c r="Q334" s="307"/>
      <c r="R334" s="303"/>
      <c r="S334" s="308"/>
      <c r="T334" s="309"/>
      <c r="U334" s="310"/>
      <c r="V334" s="310"/>
      <c r="AG334" s="312"/>
      <c r="AH334" s="312"/>
      <c r="AI334" s="312"/>
      <c r="AJ334" s="312"/>
      <c r="AK334" s="312"/>
      <c r="AL334" s="312"/>
      <c r="AM334" s="312"/>
      <c r="AN334" s="312"/>
      <c r="AO334" s="312"/>
      <c r="AP334" s="312"/>
      <c r="AQ334" s="313"/>
    </row>
    <row r="335" spans="1:43" s="311" customFormat="1" ht="15.75" x14ac:dyDescent="0.25">
      <c r="A335" s="163">
        <v>250</v>
      </c>
      <c r="B335" s="303" t="s">
        <v>662</v>
      </c>
      <c r="C335" s="303"/>
      <c r="D335" s="303"/>
      <c r="E335" s="303"/>
      <c r="F335" s="303"/>
      <c r="G335" s="303"/>
      <c r="H335" s="303"/>
      <c r="I335" s="303"/>
      <c r="J335" s="303" t="s">
        <v>376</v>
      </c>
      <c r="K335" s="243">
        <f>SUMIFS($AI$56:$AI$60,$V$56:$V$60,"Зор.н.ср.",$F$56:$F$60,19,$H$56:$H$60,1)+SUMIFS($AI$56:$AI$60,$V$56:$V$60,"Зор.н.зол.",$F$56:$F$60,19,$H$56:$H$60,1)+SUMIFS($AI$56:$AI$60,$V$56:$V$60,"Зор.н.різн.",$F$56:$F$60,19,$H$56:$H$60,1)</f>
        <v>0</v>
      </c>
      <c r="L335" s="305"/>
      <c r="M335" s="306">
        <f>Прайс!$J$81</f>
        <v>7100</v>
      </c>
      <c r="N335" s="245">
        <f t="shared" si="6"/>
        <v>0</v>
      </c>
      <c r="O335" s="305"/>
      <c r="P335" s="307"/>
      <c r="Q335" s="307"/>
      <c r="R335" s="303"/>
      <c r="S335" s="308"/>
      <c r="T335" s="309"/>
      <c r="U335" s="310"/>
      <c r="V335" s="310"/>
      <c r="AG335" s="312"/>
      <c r="AH335" s="312"/>
      <c r="AI335" s="312"/>
      <c r="AJ335" s="312"/>
      <c r="AK335" s="312"/>
      <c r="AL335" s="312"/>
      <c r="AM335" s="312"/>
      <c r="AN335" s="312"/>
      <c r="AO335" s="312"/>
      <c r="AP335" s="312"/>
      <c r="AQ335" s="313"/>
    </row>
    <row r="336" spans="1:43" s="311" customFormat="1" ht="15.75" x14ac:dyDescent="0.25">
      <c r="A336" s="163">
        <v>251</v>
      </c>
      <c r="B336" s="303" t="s">
        <v>663</v>
      </c>
      <c r="C336" s="303"/>
      <c r="D336" s="303"/>
      <c r="E336" s="303"/>
      <c r="F336" s="303"/>
      <c r="G336" s="303"/>
      <c r="H336" s="303"/>
      <c r="I336" s="303"/>
      <c r="J336" s="303" t="s">
        <v>376</v>
      </c>
      <c r="K336" s="243">
        <f>SUMIFS($AI$56:$AI$60,$V$56:$V$60,"Зор.н.ср.",$F$56:$F$60,19,$H$56:$H$60,2)+SUMIFS($AI$56:$AI$60,$V$56:$V$60,"Зор.н.зол.",$F$56:$F$60,19,$H$56:$H$60,2)+SUMIFS($AI$56:$AI$60,$V$56:$V$60,"Зор.н.різн.",$F$56:$F$60,19,$H$56:$H$60,2)</f>
        <v>0</v>
      </c>
      <c r="L336" s="305"/>
      <c r="M336" s="306">
        <f>Прайс!$K$81</f>
        <v>7520</v>
      </c>
      <c r="N336" s="245">
        <f t="shared" si="6"/>
        <v>0</v>
      </c>
      <c r="O336" s="305"/>
      <c r="P336" s="307"/>
      <c r="Q336" s="307"/>
      <c r="R336" s="303"/>
      <c r="S336" s="308"/>
      <c r="T336" s="309"/>
      <c r="U336" s="310"/>
      <c r="V336" s="310"/>
      <c r="AG336" s="312"/>
      <c r="AH336" s="312"/>
      <c r="AI336" s="312"/>
      <c r="AJ336" s="312"/>
      <c r="AK336" s="312"/>
      <c r="AL336" s="312"/>
      <c r="AM336" s="312"/>
      <c r="AN336" s="312"/>
      <c r="AO336" s="312"/>
      <c r="AP336" s="312"/>
      <c r="AQ336" s="313"/>
    </row>
    <row r="337" spans="1:43" s="311" customFormat="1" ht="15.75" x14ac:dyDescent="0.25">
      <c r="A337" s="163">
        <v>252</v>
      </c>
      <c r="B337" s="303" t="s">
        <v>664</v>
      </c>
      <c r="C337" s="303"/>
      <c r="D337" s="303"/>
      <c r="E337" s="303"/>
      <c r="F337" s="303"/>
      <c r="G337" s="303"/>
      <c r="H337" s="303"/>
      <c r="I337" s="303"/>
      <c r="J337" s="303" t="s">
        <v>376</v>
      </c>
      <c r="K337" s="243"/>
      <c r="L337" s="305"/>
      <c r="M337" s="306"/>
      <c r="N337" s="245">
        <f t="shared" si="6"/>
        <v>0</v>
      </c>
      <c r="O337" s="305"/>
      <c r="P337" s="307"/>
      <c r="Q337" s="307"/>
      <c r="R337" s="303"/>
      <c r="S337" s="308"/>
      <c r="T337" s="309"/>
      <c r="U337" s="310"/>
      <c r="V337" s="310"/>
      <c r="AG337" s="312"/>
      <c r="AH337" s="312"/>
      <c r="AI337" s="312"/>
      <c r="AJ337" s="312"/>
      <c r="AK337" s="312"/>
      <c r="AL337" s="312"/>
      <c r="AM337" s="312"/>
      <c r="AN337" s="312"/>
      <c r="AO337" s="312"/>
      <c r="AP337" s="312"/>
      <c r="AQ337" s="313"/>
    </row>
    <row r="338" spans="1:43" s="311" customFormat="1" ht="15.75" x14ac:dyDescent="0.25">
      <c r="A338" s="163">
        <v>253</v>
      </c>
      <c r="B338" s="303" t="s">
        <v>665</v>
      </c>
      <c r="C338" s="303"/>
      <c r="D338" s="303"/>
      <c r="E338" s="303"/>
      <c r="F338" s="303"/>
      <c r="G338" s="303"/>
      <c r="H338" s="303"/>
      <c r="I338" s="303"/>
      <c r="J338" s="303" t="s">
        <v>376</v>
      </c>
      <c r="K338" s="243"/>
      <c r="L338" s="305"/>
      <c r="M338" s="306"/>
      <c r="N338" s="245">
        <f t="shared" si="6"/>
        <v>0</v>
      </c>
      <c r="O338" s="305"/>
      <c r="P338" s="307"/>
      <c r="Q338" s="307"/>
      <c r="R338" s="303"/>
      <c r="S338" s="308"/>
      <c r="T338" s="309"/>
      <c r="U338" s="310"/>
      <c r="V338" s="310"/>
      <c r="AG338" s="312"/>
      <c r="AH338" s="312"/>
      <c r="AI338" s="312"/>
      <c r="AJ338" s="312"/>
      <c r="AK338" s="312"/>
      <c r="AL338" s="312"/>
      <c r="AM338" s="312"/>
      <c r="AN338" s="312"/>
      <c r="AO338" s="312"/>
      <c r="AP338" s="312"/>
      <c r="AQ338" s="313"/>
    </row>
    <row r="339" spans="1:43" s="329" customFormat="1" ht="15.75" x14ac:dyDescent="0.25">
      <c r="A339" s="163">
        <v>254</v>
      </c>
      <c r="B339" s="233" t="s">
        <v>477</v>
      </c>
      <c r="C339" s="233"/>
      <c r="D339" s="233"/>
      <c r="E339" s="233"/>
      <c r="F339" s="233"/>
      <c r="G339" s="233"/>
      <c r="H339" s="233"/>
      <c r="I339" s="233"/>
      <c r="J339" s="233" t="s">
        <v>376</v>
      </c>
      <c r="K339" s="243">
        <f>SUMIFS($AI$56:$AI$60,$V$56:$V$60,"",$X$56:$X$60,"Матове покриття з патиною",$F$56:$F$60,16,$H$56:$H$60,1)</f>
        <v>0</v>
      </c>
      <c r="L339" s="254"/>
      <c r="M339" s="255">
        <f>Прайс!$H$82</f>
        <v>6330</v>
      </c>
      <c r="N339" s="245">
        <f t="shared" si="6"/>
        <v>0</v>
      </c>
      <c r="O339" s="324"/>
      <c r="P339" s="325"/>
      <c r="Q339" s="325"/>
      <c r="R339" s="323"/>
      <c r="S339" s="326"/>
      <c r="T339" s="327"/>
      <c r="U339" s="328"/>
      <c r="V339" s="328"/>
      <c r="AG339" s="330"/>
      <c r="AH339" s="330"/>
      <c r="AI339" s="330"/>
      <c r="AJ339" s="330"/>
      <c r="AK339" s="330"/>
      <c r="AL339" s="330"/>
      <c r="AM339" s="330"/>
      <c r="AN339" s="330"/>
      <c r="AO339" s="330"/>
      <c r="AP339" s="330"/>
      <c r="AQ339" s="331"/>
    </row>
    <row r="340" spans="1:43" ht="15.75" x14ac:dyDescent="0.25">
      <c r="A340" s="163">
        <v>255</v>
      </c>
      <c r="B340" s="233" t="s">
        <v>478</v>
      </c>
      <c r="C340" s="233"/>
      <c r="D340" s="233"/>
      <c r="E340" s="233"/>
      <c r="F340" s="233"/>
      <c r="G340" s="233"/>
      <c r="H340" s="233"/>
      <c r="I340" s="233"/>
      <c r="J340" s="233" t="s">
        <v>376</v>
      </c>
      <c r="K340" s="243">
        <f>SUMIFS($AI$56:$AI$60,$V$56:$V$60,"",$X$56:$X$60,"Матове покриття з патиною",$F$56:$F$60,16,$H$56:$H$60,2)</f>
        <v>0</v>
      </c>
      <c r="L340" s="254"/>
      <c r="M340" s="255">
        <f>Прайс!$I$82</f>
        <v>6750</v>
      </c>
      <c r="N340" s="245">
        <f t="shared" si="6"/>
        <v>0</v>
      </c>
      <c r="O340" s="254"/>
      <c r="P340" s="234"/>
      <c r="Q340" s="234"/>
      <c r="R340" s="233"/>
      <c r="S340" s="204"/>
      <c r="T340" s="205"/>
      <c r="U340" s="235"/>
      <c r="V340" s="235"/>
      <c r="AG340" s="236"/>
      <c r="AH340" s="236"/>
      <c r="AI340" s="236"/>
      <c r="AJ340" s="236"/>
      <c r="AK340" s="236"/>
      <c r="AL340" s="236"/>
      <c r="AM340" s="236"/>
      <c r="AN340" s="236"/>
      <c r="AO340" s="236"/>
      <c r="AP340" s="236"/>
      <c r="AQ340" s="237"/>
    </row>
    <row r="341" spans="1:43" ht="15.75" x14ac:dyDescent="0.25">
      <c r="A341" s="163">
        <v>256</v>
      </c>
      <c r="B341" s="233" t="s">
        <v>479</v>
      </c>
      <c r="C341" s="233"/>
      <c r="D341" s="233"/>
      <c r="E341" s="233"/>
      <c r="F341" s="233"/>
      <c r="G341" s="233"/>
      <c r="H341" s="233"/>
      <c r="I341" s="233"/>
      <c r="J341" s="233" t="s">
        <v>376</v>
      </c>
      <c r="K341" s="243">
        <f>SUMIFS($AI$56:$AI$60,$V$56:$V$60,"",$X$56:$X$60,"Матове покриття з патиною",$F$56:$F$60,19,$H$56:$H$60,1)</f>
        <v>0</v>
      </c>
      <c r="L341" s="254"/>
      <c r="M341" s="255">
        <f>Прайс!$J$82</f>
        <v>6400</v>
      </c>
      <c r="N341" s="245">
        <f t="shared" si="6"/>
        <v>0</v>
      </c>
      <c r="O341" s="254"/>
      <c r="P341" s="234"/>
      <c r="Q341" s="234"/>
      <c r="R341" s="233"/>
      <c r="S341" s="204"/>
      <c r="T341" s="205"/>
      <c r="U341" s="235"/>
      <c r="V341" s="235"/>
      <c r="AG341" s="236"/>
      <c r="AH341" s="236"/>
      <c r="AI341" s="236"/>
      <c r="AJ341" s="236"/>
      <c r="AK341" s="236"/>
      <c r="AL341" s="236"/>
      <c r="AM341" s="236"/>
      <c r="AN341" s="236"/>
      <c r="AO341" s="236"/>
      <c r="AP341" s="236"/>
      <c r="AQ341" s="237"/>
    </row>
    <row r="342" spans="1:43" ht="15.75" x14ac:dyDescent="0.25">
      <c r="A342" s="163">
        <v>257</v>
      </c>
      <c r="B342" s="233" t="s">
        <v>480</v>
      </c>
      <c r="C342" s="233"/>
      <c r="D342" s="233"/>
      <c r="E342" s="233"/>
      <c r="F342" s="233"/>
      <c r="G342" s="233"/>
      <c r="H342" s="233"/>
      <c r="I342" s="233"/>
      <c r="J342" s="233" t="s">
        <v>376</v>
      </c>
      <c r="K342" s="243">
        <f>SUMIFS($AI$56:$AI$60,$V$56:$V$60,"",$X$56:$X$60,"Матове покриття з патиною",$F$56:$F$60,19,$H$56:$H$60,2)</f>
        <v>0</v>
      </c>
      <c r="L342" s="254"/>
      <c r="M342" s="255">
        <f>Прайс!$K$82</f>
        <v>6820</v>
      </c>
      <c r="N342" s="245">
        <f t="shared" si="6"/>
        <v>0</v>
      </c>
      <c r="O342" s="254"/>
      <c r="P342" s="234"/>
      <c r="Q342" s="234"/>
      <c r="R342" s="233"/>
      <c r="S342" s="204"/>
      <c r="T342" s="205"/>
      <c r="U342" s="235"/>
      <c r="V342" s="235"/>
      <c r="AG342" s="236"/>
      <c r="AH342" s="236"/>
      <c r="AI342" s="236"/>
      <c r="AJ342" s="236"/>
      <c r="AK342" s="236"/>
      <c r="AL342" s="236"/>
      <c r="AM342" s="236"/>
      <c r="AN342" s="236"/>
      <c r="AO342" s="236"/>
      <c r="AP342" s="236"/>
      <c r="AQ342" s="237"/>
    </row>
    <row r="343" spans="1:43" ht="15.75" x14ac:dyDescent="0.25">
      <c r="A343" s="163">
        <v>258</v>
      </c>
      <c r="B343" s="233" t="s">
        <v>481</v>
      </c>
      <c r="C343" s="233"/>
      <c r="D343" s="233"/>
      <c r="E343" s="233"/>
      <c r="F343" s="233"/>
      <c r="G343" s="233"/>
      <c r="H343" s="233"/>
      <c r="I343" s="233"/>
      <c r="J343" s="233" t="s">
        <v>376</v>
      </c>
      <c r="K343" s="243">
        <f>SUMIFS($AI$56:$AI$60,$V$56:$V$60,"",$Y$56:$Y$60,"Матове покриття з патиною",$H$56:$H$60,1)</f>
        <v>0</v>
      </c>
      <c r="L343" s="254"/>
      <c r="M343" s="255">
        <f>Прайс!$H$82/2</f>
        <v>3165</v>
      </c>
      <c r="N343" s="245">
        <f t="shared" si="6"/>
        <v>0</v>
      </c>
      <c r="O343" s="254"/>
      <c r="P343" s="234"/>
      <c r="Q343" s="234"/>
      <c r="R343" s="233"/>
      <c r="S343" s="204"/>
      <c r="T343" s="205"/>
      <c r="U343" s="235"/>
      <c r="V343" s="235"/>
      <c r="AG343" s="236"/>
      <c r="AH343" s="236"/>
      <c r="AI343" s="236"/>
      <c r="AJ343" s="236"/>
      <c r="AK343" s="236"/>
      <c r="AL343" s="236"/>
      <c r="AM343" s="236"/>
      <c r="AN343" s="236"/>
      <c r="AO343" s="236"/>
      <c r="AP343" s="236"/>
      <c r="AQ343" s="237"/>
    </row>
    <row r="344" spans="1:43" ht="15.75" x14ac:dyDescent="0.25">
      <c r="A344" s="163">
        <v>259</v>
      </c>
      <c r="B344" s="233" t="s">
        <v>482</v>
      </c>
      <c r="C344" s="233"/>
      <c r="D344" s="233"/>
      <c r="E344" s="233"/>
      <c r="F344" s="233"/>
      <c r="G344" s="233"/>
      <c r="H344" s="233"/>
      <c r="I344" s="233"/>
      <c r="J344" s="233" t="s">
        <v>376</v>
      </c>
      <c r="K344" s="243">
        <f>SUMIFS($AI$56:$AI$60,$V$56:$V$60,"",$Y$56:$Y$60,"Матове покриття з патиною",$H$56:$H$60,2)</f>
        <v>0</v>
      </c>
      <c r="L344" s="254"/>
      <c r="M344" s="255">
        <f>Прайс!$I$82/2</f>
        <v>3375</v>
      </c>
      <c r="N344" s="245">
        <f t="shared" si="6"/>
        <v>0</v>
      </c>
      <c r="O344" s="254"/>
      <c r="P344" s="234"/>
      <c r="Q344" s="234"/>
      <c r="R344" s="233"/>
      <c r="S344" s="204"/>
      <c r="T344" s="205"/>
      <c r="U344" s="235"/>
      <c r="V344" s="235"/>
      <c r="AG344" s="236"/>
      <c r="AH344" s="236"/>
      <c r="AI344" s="236"/>
      <c r="AJ344" s="236"/>
      <c r="AK344" s="236"/>
      <c r="AL344" s="236"/>
      <c r="AM344" s="236"/>
      <c r="AN344" s="236"/>
      <c r="AO344" s="236"/>
      <c r="AP344" s="236"/>
      <c r="AQ344" s="237"/>
    </row>
    <row r="345" spans="1:43" s="311" customFormat="1" ht="15.75" x14ac:dyDescent="0.25">
      <c r="A345" s="163">
        <v>260</v>
      </c>
      <c r="B345" s="303" t="s">
        <v>483</v>
      </c>
      <c r="C345" s="303"/>
      <c r="D345" s="303"/>
      <c r="E345" s="303"/>
      <c r="F345" s="303"/>
      <c r="G345" s="303"/>
      <c r="H345" s="303"/>
      <c r="I345" s="303"/>
      <c r="J345" s="303" t="s">
        <v>376</v>
      </c>
      <c r="K345" s="304">
        <f>SUMIFS($AI$56:$AI$60,$V$56:$V$60,"",$X$56:$X$60,"Глянцеве покриття з патиною",$F$56:$F$60,16,$H$56:$H$60,1)</f>
        <v>0</v>
      </c>
      <c r="L345" s="305"/>
      <c r="M345" s="306">
        <f>Прайс!$H$83</f>
        <v>6820</v>
      </c>
      <c r="N345" s="245">
        <f t="shared" si="6"/>
        <v>0</v>
      </c>
      <c r="O345" s="305"/>
      <c r="P345" s="307"/>
      <c r="Q345" s="307"/>
      <c r="R345" s="303"/>
      <c r="S345" s="308"/>
      <c r="T345" s="309"/>
      <c r="U345" s="310"/>
      <c r="V345" s="310"/>
      <c r="AG345" s="312"/>
      <c r="AH345" s="312"/>
      <c r="AI345" s="312"/>
      <c r="AJ345" s="312"/>
      <c r="AK345" s="312"/>
      <c r="AL345" s="312"/>
      <c r="AM345" s="312"/>
      <c r="AN345" s="312"/>
      <c r="AO345" s="312"/>
      <c r="AP345" s="312"/>
      <c r="AQ345" s="313"/>
    </row>
    <row r="346" spans="1:43" s="311" customFormat="1" ht="15.75" x14ac:dyDescent="0.25">
      <c r="A346" s="163">
        <v>261</v>
      </c>
      <c r="B346" s="303" t="s">
        <v>484</v>
      </c>
      <c r="C346" s="303"/>
      <c r="D346" s="303"/>
      <c r="E346" s="303"/>
      <c r="F346" s="303"/>
      <c r="G346" s="303"/>
      <c r="H346" s="303"/>
      <c r="I346" s="303"/>
      <c r="J346" s="303" t="s">
        <v>376</v>
      </c>
      <c r="K346" s="304">
        <f>SUMIFS($AI$56:$AI$60,$V$56:$V$60,"",$X$56:$X$60,"Глянцеве покриття з патиною",$F$56:$F$60,16,$H$56:$H$60,2)</f>
        <v>0</v>
      </c>
      <c r="L346" s="305"/>
      <c r="M346" s="306">
        <f>Прайс!$I$83</f>
        <v>7240</v>
      </c>
      <c r="N346" s="245">
        <f t="shared" si="6"/>
        <v>0</v>
      </c>
      <c r="O346" s="305"/>
      <c r="P346" s="307"/>
      <c r="Q346" s="307"/>
      <c r="R346" s="303"/>
      <c r="S346" s="308"/>
      <c r="T346" s="309"/>
      <c r="U346" s="310"/>
      <c r="V346" s="310"/>
      <c r="AG346" s="312"/>
      <c r="AH346" s="312"/>
      <c r="AI346" s="312"/>
      <c r="AJ346" s="312"/>
      <c r="AK346" s="312"/>
      <c r="AL346" s="312"/>
      <c r="AM346" s="312"/>
      <c r="AN346" s="312"/>
      <c r="AO346" s="312"/>
      <c r="AP346" s="312"/>
      <c r="AQ346" s="313"/>
    </row>
    <row r="347" spans="1:43" s="311" customFormat="1" ht="15.75" x14ac:dyDescent="0.25">
      <c r="A347" s="163">
        <v>262</v>
      </c>
      <c r="B347" s="303" t="s">
        <v>485</v>
      </c>
      <c r="C347" s="303"/>
      <c r="D347" s="303"/>
      <c r="E347" s="303"/>
      <c r="F347" s="303"/>
      <c r="G347" s="303"/>
      <c r="H347" s="303"/>
      <c r="I347" s="303"/>
      <c r="J347" s="303" t="s">
        <v>376</v>
      </c>
      <c r="K347" s="304">
        <f>SUMIFS($AI$56:$AI$60,$V$56:$V$60,"",$X$56:$X$60,"Глянцеве покриття з патиною",$F$56:$F$60,19,$H$56:$H$60,1)</f>
        <v>0</v>
      </c>
      <c r="L347" s="305"/>
      <c r="M347" s="306">
        <f>Прайс!$J$83</f>
        <v>6890</v>
      </c>
      <c r="N347" s="245">
        <f t="shared" si="6"/>
        <v>0</v>
      </c>
      <c r="O347" s="305"/>
      <c r="P347" s="307"/>
      <c r="Q347" s="307"/>
      <c r="R347" s="303"/>
      <c r="S347" s="308"/>
      <c r="T347" s="309"/>
      <c r="U347" s="310"/>
      <c r="V347" s="310"/>
      <c r="AG347" s="312"/>
      <c r="AH347" s="312"/>
      <c r="AI347" s="312"/>
      <c r="AJ347" s="312"/>
      <c r="AK347" s="312"/>
      <c r="AL347" s="312"/>
      <c r="AM347" s="312"/>
      <c r="AN347" s="312"/>
      <c r="AO347" s="312"/>
      <c r="AP347" s="312"/>
      <c r="AQ347" s="313"/>
    </row>
    <row r="348" spans="1:43" s="311" customFormat="1" ht="15.75" x14ac:dyDescent="0.25">
      <c r="A348" s="163">
        <v>263</v>
      </c>
      <c r="B348" s="303" t="s">
        <v>486</v>
      </c>
      <c r="C348" s="303"/>
      <c r="D348" s="303"/>
      <c r="E348" s="303"/>
      <c r="F348" s="303"/>
      <c r="G348" s="303"/>
      <c r="H348" s="303"/>
      <c r="I348" s="303"/>
      <c r="J348" s="303" t="s">
        <v>376</v>
      </c>
      <c r="K348" s="304">
        <f>SUMIFS($AI$56:$AI$60,$V$56:$V$60,"",$X$56:$X$60,"Глянцеве покриття з патиною",$F$56:$F$60,19,$H$56:$H$60,2)</f>
        <v>0</v>
      </c>
      <c r="L348" s="305"/>
      <c r="M348" s="306">
        <f>Прайс!$K$83</f>
        <v>7310</v>
      </c>
      <c r="N348" s="245">
        <f t="shared" si="6"/>
        <v>0</v>
      </c>
      <c r="O348" s="305"/>
      <c r="P348" s="307"/>
      <c r="Q348" s="307"/>
      <c r="R348" s="303"/>
      <c r="S348" s="308"/>
      <c r="T348" s="309"/>
      <c r="U348" s="310"/>
      <c r="V348" s="310"/>
      <c r="AG348" s="312"/>
      <c r="AH348" s="312"/>
      <c r="AI348" s="312"/>
      <c r="AJ348" s="312"/>
      <c r="AK348" s="312"/>
      <c r="AL348" s="312"/>
      <c r="AM348" s="312"/>
      <c r="AN348" s="312"/>
      <c r="AO348" s="312"/>
      <c r="AP348" s="312"/>
      <c r="AQ348" s="313"/>
    </row>
    <row r="349" spans="1:43" s="311" customFormat="1" ht="15.75" x14ac:dyDescent="0.25">
      <c r="A349" s="163">
        <v>264</v>
      </c>
      <c r="B349" s="303" t="s">
        <v>487</v>
      </c>
      <c r="C349" s="303"/>
      <c r="D349" s="303"/>
      <c r="E349" s="303"/>
      <c r="F349" s="303"/>
      <c r="G349" s="303"/>
      <c r="H349" s="303"/>
      <c r="I349" s="303"/>
      <c r="J349" s="303" t="s">
        <v>376</v>
      </c>
      <c r="K349" s="304">
        <f>SUMIFS($AI$56:$AI$60,$V$56:$V$60,"",$Y$56:$Y$60,"Глянцеве покриття з патиною",$H$56:$H$60,1)</f>
        <v>0</v>
      </c>
      <c r="L349" s="305"/>
      <c r="M349" s="306">
        <f>Прайс!$H$83/2</f>
        <v>3410</v>
      </c>
      <c r="N349" s="245">
        <f t="shared" si="6"/>
        <v>0</v>
      </c>
      <c r="O349" s="305"/>
      <c r="P349" s="307"/>
      <c r="Q349" s="307"/>
      <c r="R349" s="303"/>
      <c r="S349" s="308"/>
      <c r="T349" s="309"/>
      <c r="U349" s="310"/>
      <c r="V349" s="310"/>
      <c r="AG349" s="312"/>
      <c r="AH349" s="312"/>
      <c r="AI349" s="312"/>
      <c r="AJ349" s="312"/>
      <c r="AK349" s="312"/>
      <c r="AL349" s="312"/>
      <c r="AM349" s="312"/>
      <c r="AN349" s="312"/>
      <c r="AO349" s="312"/>
      <c r="AP349" s="312"/>
      <c r="AQ349" s="313"/>
    </row>
    <row r="350" spans="1:43" s="311" customFormat="1" ht="15.75" x14ac:dyDescent="0.25">
      <c r="A350" s="163">
        <v>265</v>
      </c>
      <c r="B350" s="303" t="s">
        <v>488</v>
      </c>
      <c r="C350" s="303"/>
      <c r="D350" s="303"/>
      <c r="E350" s="303"/>
      <c r="F350" s="303"/>
      <c r="G350" s="303"/>
      <c r="H350" s="303"/>
      <c r="I350" s="303"/>
      <c r="J350" s="303" t="s">
        <v>376</v>
      </c>
      <c r="K350" s="304">
        <f>SUMIFS($AI$56:$AI$60,$V$56:$V$60,"",$Y$56:$Y$60,"Глянцеве покриття з патиною",$H$56:$H$60,2)</f>
        <v>0</v>
      </c>
      <c r="L350" s="305"/>
      <c r="M350" s="306">
        <f>Прайс!$I$83/2</f>
        <v>3620</v>
      </c>
      <c r="N350" s="245">
        <f t="shared" si="6"/>
        <v>0</v>
      </c>
      <c r="O350" s="305"/>
      <c r="P350" s="307"/>
      <c r="Q350" s="307"/>
      <c r="R350" s="303"/>
      <c r="S350" s="308"/>
      <c r="T350" s="309"/>
      <c r="U350" s="310"/>
      <c r="V350" s="310"/>
      <c r="AG350" s="312"/>
      <c r="AH350" s="312"/>
      <c r="AI350" s="312"/>
      <c r="AJ350" s="312"/>
      <c r="AK350" s="312"/>
      <c r="AL350" s="312"/>
      <c r="AM350" s="312"/>
      <c r="AN350" s="312"/>
      <c r="AO350" s="312"/>
      <c r="AP350" s="312"/>
      <c r="AQ350" s="313"/>
    </row>
    <row r="351" spans="1:43" ht="15.75" x14ac:dyDescent="0.25">
      <c r="A351" s="163">
        <v>266</v>
      </c>
      <c r="B351" s="233" t="s">
        <v>489</v>
      </c>
      <c r="C351" s="233"/>
      <c r="D351" s="233"/>
      <c r="E351" s="233"/>
      <c r="F351" s="233"/>
      <c r="G351" s="233"/>
      <c r="H351" s="233"/>
      <c r="I351" s="233"/>
      <c r="J351" s="233" t="s">
        <v>376</v>
      </c>
      <c r="K351" s="243">
        <f>SUMIFS($AI$56:$AI$60,$V$56:$V$60,"",$X$56:$X$60,"Матовий DECAPE",$F$56:$F$60,16,$H$56:$H$60,1)</f>
        <v>0</v>
      </c>
      <c r="L351" s="254"/>
      <c r="M351" s="255">
        <f>Прайс!$H$84</f>
        <v>6470</v>
      </c>
      <c r="N351" s="245">
        <f t="shared" si="6"/>
        <v>0</v>
      </c>
      <c r="O351" s="254"/>
      <c r="P351" s="234"/>
      <c r="Q351" s="234"/>
      <c r="R351" s="233"/>
      <c r="S351" s="204"/>
      <c r="T351" s="205"/>
      <c r="U351" s="235"/>
      <c r="V351" s="235"/>
      <c r="AG351" s="236"/>
      <c r="AH351" s="236"/>
      <c r="AI351" s="236"/>
      <c r="AJ351" s="236"/>
      <c r="AK351" s="236"/>
      <c r="AL351" s="236"/>
      <c r="AM351" s="236"/>
      <c r="AN351" s="236"/>
      <c r="AO351" s="236"/>
      <c r="AP351" s="236"/>
      <c r="AQ351" s="237"/>
    </row>
    <row r="352" spans="1:43" ht="15.75" x14ac:dyDescent="0.25">
      <c r="A352" s="163">
        <v>267</v>
      </c>
      <c r="B352" s="233" t="s">
        <v>490</v>
      </c>
      <c r="C352" s="233"/>
      <c r="D352" s="233"/>
      <c r="E352" s="233"/>
      <c r="F352" s="233"/>
      <c r="G352" s="233"/>
      <c r="H352" s="233"/>
      <c r="I352" s="233"/>
      <c r="J352" s="233" t="s">
        <v>376</v>
      </c>
      <c r="K352" s="243">
        <f>SUMIFS($AI$56:$AI$60,$V$56:$V$60,"",$X$56:$X$60,"Матовий DECAPE",$F$56:$F$60,16,$H$56:$H$60,2)</f>
        <v>0</v>
      </c>
      <c r="L352" s="254"/>
      <c r="M352" s="255">
        <f>Прайс!$I$84</f>
        <v>6890</v>
      </c>
      <c r="N352" s="245">
        <f t="shared" si="6"/>
        <v>0</v>
      </c>
      <c r="O352" s="254"/>
      <c r="P352" s="234"/>
      <c r="Q352" s="234"/>
      <c r="R352" s="233"/>
      <c r="S352" s="204"/>
      <c r="T352" s="205"/>
      <c r="U352" s="235"/>
      <c r="V352" s="235"/>
      <c r="AG352" s="236"/>
      <c r="AH352" s="236"/>
      <c r="AI352" s="236"/>
      <c r="AJ352" s="236"/>
      <c r="AK352" s="236"/>
      <c r="AL352" s="236"/>
      <c r="AM352" s="236"/>
      <c r="AN352" s="236"/>
      <c r="AO352" s="236"/>
      <c r="AP352" s="236"/>
      <c r="AQ352" s="237"/>
    </row>
    <row r="353" spans="1:43" ht="15.75" x14ac:dyDescent="0.25">
      <c r="A353" s="163">
        <v>268</v>
      </c>
      <c r="B353" s="233" t="s">
        <v>491</v>
      </c>
      <c r="C353" s="233"/>
      <c r="D353" s="233"/>
      <c r="E353" s="233"/>
      <c r="F353" s="233"/>
      <c r="G353" s="233"/>
      <c r="H353" s="233"/>
      <c r="I353" s="233"/>
      <c r="J353" s="233" t="s">
        <v>376</v>
      </c>
      <c r="K353" s="243">
        <f>SUMIFS($AI$56:$AI$60,$V$56:$V$60,"",$X$56:$X$60,"Матовий DECAPE",$F$56:$F$60,19,$H$56:$H$60,1)</f>
        <v>0</v>
      </c>
      <c r="L353" s="254"/>
      <c r="M353" s="255">
        <f>Прайс!$J$84</f>
        <v>6540</v>
      </c>
      <c r="N353" s="245">
        <f t="shared" si="6"/>
        <v>0</v>
      </c>
      <c r="O353" s="254"/>
      <c r="P353" s="234"/>
      <c r="Q353" s="234"/>
      <c r="R353" s="233"/>
      <c r="S353" s="204"/>
      <c r="T353" s="205"/>
      <c r="U353" s="235"/>
      <c r="V353" s="235"/>
      <c r="AG353" s="236"/>
      <c r="AH353" s="236"/>
      <c r="AI353" s="236"/>
      <c r="AJ353" s="236"/>
      <c r="AK353" s="236"/>
      <c r="AL353" s="236"/>
      <c r="AM353" s="236"/>
      <c r="AN353" s="236"/>
      <c r="AO353" s="236"/>
      <c r="AP353" s="236"/>
      <c r="AQ353" s="237"/>
    </row>
    <row r="354" spans="1:43" ht="15.75" x14ac:dyDescent="0.25">
      <c r="A354" s="163">
        <v>269</v>
      </c>
      <c r="B354" s="233" t="s">
        <v>492</v>
      </c>
      <c r="C354" s="233"/>
      <c r="D354" s="233"/>
      <c r="E354" s="233"/>
      <c r="F354" s="233"/>
      <c r="G354" s="233"/>
      <c r="H354" s="233"/>
      <c r="I354" s="233"/>
      <c r="J354" s="233" t="s">
        <v>376</v>
      </c>
      <c r="K354" s="243">
        <f>SUMIFS($AI$56:$AI$60,$V$56:$V$60,"",$X$56:$X$60,"Матовий DECAPE",$F$56:$F$60,19,$H$56:$H$60,2)</f>
        <v>0</v>
      </c>
      <c r="L354" s="254"/>
      <c r="M354" s="255">
        <f>Прайс!$K$84</f>
        <v>6960</v>
      </c>
      <c r="N354" s="245">
        <f t="shared" si="6"/>
        <v>0</v>
      </c>
      <c r="O354" s="254"/>
      <c r="P354" s="234"/>
      <c r="Q354" s="234"/>
      <c r="R354" s="233"/>
      <c r="S354" s="204"/>
      <c r="T354" s="205"/>
      <c r="U354" s="235"/>
      <c r="V354" s="235"/>
      <c r="AG354" s="236"/>
      <c r="AH354" s="236"/>
      <c r="AI354" s="236"/>
      <c r="AJ354" s="236"/>
      <c r="AK354" s="236"/>
      <c r="AL354" s="236"/>
      <c r="AM354" s="236"/>
      <c r="AN354" s="236"/>
      <c r="AO354" s="236"/>
      <c r="AP354" s="236"/>
      <c r="AQ354" s="237"/>
    </row>
    <row r="355" spans="1:43" ht="15.75" x14ac:dyDescent="0.25">
      <c r="A355" s="163">
        <v>270</v>
      </c>
      <c r="B355" s="233" t="s">
        <v>493</v>
      </c>
      <c r="C355" s="233"/>
      <c r="D355" s="233"/>
      <c r="E355" s="233"/>
      <c r="F355" s="233"/>
      <c r="G355" s="233"/>
      <c r="H355" s="233"/>
      <c r="I355" s="233"/>
      <c r="J355" s="233" t="s">
        <v>376</v>
      </c>
      <c r="K355" s="243">
        <f>SUMIFS($AI$56:$AI$60,$V$56:$V$60,"",$Y$56:$Y$60,"Матовий DECAPE",$H$56:$H$60,1)</f>
        <v>0</v>
      </c>
      <c r="L355" s="254"/>
      <c r="M355" s="255">
        <f>Прайс!$H$84/2</f>
        <v>3235</v>
      </c>
      <c r="N355" s="245">
        <f t="shared" si="6"/>
        <v>0</v>
      </c>
      <c r="O355" s="254"/>
      <c r="P355" s="234"/>
      <c r="Q355" s="234"/>
      <c r="R355" s="233"/>
      <c r="S355" s="204"/>
      <c r="T355" s="205"/>
      <c r="U355" s="235"/>
      <c r="V355" s="235"/>
      <c r="AG355" s="236"/>
      <c r="AH355" s="236"/>
      <c r="AI355" s="236"/>
      <c r="AJ355" s="236"/>
      <c r="AK355" s="236"/>
      <c r="AL355" s="236"/>
      <c r="AM355" s="236"/>
      <c r="AN355" s="236"/>
      <c r="AO355" s="236"/>
      <c r="AP355" s="236"/>
      <c r="AQ355" s="237"/>
    </row>
    <row r="356" spans="1:43" ht="15.75" x14ac:dyDescent="0.25">
      <c r="A356" s="163">
        <v>271</v>
      </c>
      <c r="B356" s="233" t="s">
        <v>494</v>
      </c>
      <c r="C356" s="233"/>
      <c r="D356" s="233"/>
      <c r="E356" s="233"/>
      <c r="F356" s="233"/>
      <c r="G356" s="233"/>
      <c r="H356" s="233"/>
      <c r="I356" s="233"/>
      <c r="J356" s="233" t="s">
        <v>376</v>
      </c>
      <c r="K356" s="243">
        <f>SUMIFS($AI$56:$AI$60,$V$56:$V$60,"",$Y$56:$Y$60,"Матовий DECAPE",$H$56:$H$60,2)</f>
        <v>0</v>
      </c>
      <c r="L356" s="254"/>
      <c r="M356" s="255">
        <f>Прайс!$I$84/2</f>
        <v>3445</v>
      </c>
      <c r="N356" s="245">
        <f t="shared" si="6"/>
        <v>0</v>
      </c>
      <c r="O356" s="254"/>
      <c r="P356" s="234"/>
      <c r="Q356" s="234"/>
      <c r="R356" s="233"/>
      <c r="S356" s="204"/>
      <c r="T356" s="205"/>
      <c r="U356" s="235"/>
      <c r="V356" s="235"/>
      <c r="AG356" s="236"/>
      <c r="AH356" s="236"/>
      <c r="AI356" s="236"/>
      <c r="AJ356" s="236"/>
      <c r="AK356" s="236"/>
      <c r="AL356" s="236"/>
      <c r="AM356" s="236"/>
      <c r="AN356" s="236"/>
      <c r="AO356" s="236"/>
      <c r="AP356" s="236"/>
      <c r="AQ356" s="237"/>
    </row>
    <row r="357" spans="1:43" s="311" customFormat="1" ht="15.75" x14ac:dyDescent="0.25">
      <c r="A357" s="163">
        <v>272</v>
      </c>
      <c r="B357" s="303" t="s">
        <v>495</v>
      </c>
      <c r="C357" s="303"/>
      <c r="D357" s="303"/>
      <c r="E357" s="303"/>
      <c r="F357" s="303"/>
      <c r="G357" s="303"/>
      <c r="H357" s="303"/>
      <c r="I357" s="303"/>
      <c r="J357" s="303" t="s">
        <v>376</v>
      </c>
      <c r="K357" s="304">
        <f>SUMIFS($AI$56:$AI$60,$V$56:$V$60,"",$X$56:$X$60,"Глянцевий DECAPE ",$F$56:$F$60,16,$H$56:$H$60,1)</f>
        <v>0</v>
      </c>
      <c r="L357" s="305"/>
      <c r="M357" s="306">
        <f>Прайс!$H$85</f>
        <v>7450</v>
      </c>
      <c r="N357" s="245">
        <f t="shared" si="6"/>
        <v>0</v>
      </c>
      <c r="O357" s="305"/>
      <c r="P357" s="307"/>
      <c r="Q357" s="307"/>
      <c r="R357" s="303"/>
      <c r="S357" s="308"/>
      <c r="T357" s="309"/>
      <c r="U357" s="310"/>
      <c r="V357" s="310"/>
      <c r="AG357" s="312"/>
      <c r="AH357" s="312"/>
      <c r="AI357" s="312"/>
      <c r="AJ357" s="312"/>
      <c r="AK357" s="312"/>
      <c r="AL357" s="312"/>
      <c r="AM357" s="312"/>
      <c r="AN357" s="312"/>
      <c r="AO357" s="312"/>
      <c r="AP357" s="312"/>
      <c r="AQ357" s="313"/>
    </row>
    <row r="358" spans="1:43" s="311" customFormat="1" ht="15.75" x14ac:dyDescent="0.25">
      <c r="A358" s="163">
        <v>273</v>
      </c>
      <c r="B358" s="303" t="s">
        <v>496</v>
      </c>
      <c r="C358" s="303"/>
      <c r="D358" s="303"/>
      <c r="E358" s="303"/>
      <c r="F358" s="303"/>
      <c r="G358" s="303"/>
      <c r="H358" s="303"/>
      <c r="I358" s="303"/>
      <c r="J358" s="303" t="s">
        <v>376</v>
      </c>
      <c r="K358" s="304">
        <f>SUMIFS($AI$56:$AI$60,$V$56:$V$60,"",$X$56:$X$60,"Глянцевий DECAPE ",$F$56:$F$60,16,$H$56:$H$60,2)</f>
        <v>0</v>
      </c>
      <c r="L358" s="305"/>
      <c r="M358" s="306">
        <f>Прайс!$I$85</f>
        <v>7870</v>
      </c>
      <c r="N358" s="245">
        <f t="shared" si="6"/>
        <v>0</v>
      </c>
      <c r="O358" s="305"/>
      <c r="P358" s="307"/>
      <c r="Q358" s="307"/>
      <c r="R358" s="303"/>
      <c r="S358" s="308"/>
      <c r="T358" s="309"/>
      <c r="U358" s="310"/>
      <c r="V358" s="310"/>
      <c r="AG358" s="312"/>
      <c r="AH358" s="312"/>
      <c r="AI358" s="312"/>
      <c r="AJ358" s="312"/>
      <c r="AK358" s="312"/>
      <c r="AL358" s="312"/>
      <c r="AM358" s="312"/>
      <c r="AN358" s="312"/>
      <c r="AO358" s="312"/>
      <c r="AP358" s="312"/>
      <c r="AQ358" s="313"/>
    </row>
    <row r="359" spans="1:43" s="311" customFormat="1" ht="15.75" x14ac:dyDescent="0.25">
      <c r="A359" s="163">
        <v>274</v>
      </c>
      <c r="B359" s="303" t="s">
        <v>497</v>
      </c>
      <c r="C359" s="303"/>
      <c r="D359" s="303"/>
      <c r="E359" s="303"/>
      <c r="F359" s="303"/>
      <c r="G359" s="303"/>
      <c r="H359" s="303"/>
      <c r="I359" s="303"/>
      <c r="J359" s="303" t="s">
        <v>376</v>
      </c>
      <c r="K359" s="304">
        <f>SUMIFS($AI$56:$AI$60,$V$56:$V$60,"",$X$56:$X$60,"Глянцевий DECAPE ",$F$56:$F$60,19,$H$56:$H$60,1)</f>
        <v>0</v>
      </c>
      <c r="L359" s="305"/>
      <c r="M359" s="306">
        <f>Прайс!$J$85</f>
        <v>7520</v>
      </c>
      <c r="N359" s="245">
        <f t="shared" si="6"/>
        <v>0</v>
      </c>
      <c r="O359" s="305"/>
      <c r="P359" s="307"/>
      <c r="Q359" s="307"/>
      <c r="R359" s="303"/>
      <c r="S359" s="308"/>
      <c r="T359" s="309"/>
      <c r="U359" s="310"/>
      <c r="V359" s="310"/>
      <c r="AG359" s="312"/>
      <c r="AH359" s="312"/>
      <c r="AI359" s="312"/>
      <c r="AJ359" s="312"/>
      <c r="AK359" s="312"/>
      <c r="AL359" s="312"/>
      <c r="AM359" s="312"/>
      <c r="AN359" s="312"/>
      <c r="AO359" s="312"/>
      <c r="AP359" s="312"/>
      <c r="AQ359" s="313"/>
    </row>
    <row r="360" spans="1:43" s="311" customFormat="1" ht="15.75" x14ac:dyDescent="0.25">
      <c r="A360" s="163">
        <v>275</v>
      </c>
      <c r="B360" s="303" t="s">
        <v>498</v>
      </c>
      <c r="C360" s="303"/>
      <c r="D360" s="303"/>
      <c r="E360" s="303"/>
      <c r="F360" s="303"/>
      <c r="G360" s="303"/>
      <c r="H360" s="303"/>
      <c r="I360" s="303"/>
      <c r="J360" s="303" t="s">
        <v>376</v>
      </c>
      <c r="K360" s="304">
        <f>SUMIFS($AI$56:$AI$60,$V$56:$V$60,"",$X$56:$X$60,"Глянцевий DECAPE ",$F$56:$F$60,19,$H$56:$H$60,2)</f>
        <v>0</v>
      </c>
      <c r="L360" s="305"/>
      <c r="M360" s="306">
        <f>Прайс!$K$85</f>
        <v>7940</v>
      </c>
      <c r="N360" s="245">
        <f t="shared" si="6"/>
        <v>0</v>
      </c>
      <c r="O360" s="305"/>
      <c r="P360" s="307"/>
      <c r="Q360" s="307"/>
      <c r="R360" s="303"/>
      <c r="S360" s="308"/>
      <c r="T360" s="309"/>
      <c r="U360" s="310"/>
      <c r="V360" s="310"/>
      <c r="AG360" s="312"/>
      <c r="AH360" s="312"/>
      <c r="AI360" s="312"/>
      <c r="AJ360" s="312"/>
      <c r="AK360" s="312"/>
      <c r="AL360" s="312"/>
      <c r="AM360" s="312"/>
      <c r="AN360" s="312"/>
      <c r="AO360" s="312"/>
      <c r="AP360" s="312"/>
      <c r="AQ360" s="313"/>
    </row>
    <row r="361" spans="1:43" s="311" customFormat="1" ht="15.75" x14ac:dyDescent="0.25">
      <c r="A361" s="163">
        <v>276</v>
      </c>
      <c r="B361" s="303" t="s">
        <v>499</v>
      </c>
      <c r="C361" s="303"/>
      <c r="D361" s="303"/>
      <c r="E361" s="303"/>
      <c r="F361" s="303"/>
      <c r="G361" s="303"/>
      <c r="H361" s="303"/>
      <c r="I361" s="303"/>
      <c r="J361" s="303" t="s">
        <v>376</v>
      </c>
      <c r="K361" s="304">
        <f>SUMIFS($AI$56:$AI$60,$V$56:$V$60,"",$Y$56:$Y$60,"Глянцевий DECAPE ",$H$56:$H$60,1)</f>
        <v>0</v>
      </c>
      <c r="L361" s="305"/>
      <c r="M361" s="306">
        <f>Прайс!$H$85/2</f>
        <v>3725</v>
      </c>
      <c r="N361" s="245">
        <f t="shared" si="6"/>
        <v>0</v>
      </c>
      <c r="O361" s="305"/>
      <c r="P361" s="307"/>
      <c r="Q361" s="307"/>
      <c r="R361" s="303"/>
      <c r="S361" s="308"/>
      <c r="T361" s="309"/>
      <c r="U361" s="310"/>
      <c r="V361" s="310"/>
      <c r="AG361" s="312"/>
      <c r="AH361" s="312"/>
      <c r="AI361" s="312"/>
      <c r="AJ361" s="312"/>
      <c r="AK361" s="312"/>
      <c r="AL361" s="312"/>
      <c r="AM361" s="312"/>
      <c r="AN361" s="312"/>
      <c r="AO361" s="312"/>
      <c r="AP361" s="312"/>
      <c r="AQ361" s="313"/>
    </row>
    <row r="362" spans="1:43" s="311" customFormat="1" ht="15.75" x14ac:dyDescent="0.25">
      <c r="A362" s="163">
        <v>277</v>
      </c>
      <c r="B362" s="303" t="s">
        <v>500</v>
      </c>
      <c r="C362" s="303"/>
      <c r="D362" s="303"/>
      <c r="E362" s="303"/>
      <c r="F362" s="303"/>
      <c r="G362" s="303"/>
      <c r="H362" s="303"/>
      <c r="I362" s="303"/>
      <c r="J362" s="303" t="s">
        <v>376</v>
      </c>
      <c r="K362" s="304">
        <f>SUMIFS($AI$56:$AI$60,$V$56:$V$60,"",$Y$56:$Y$60,"Глянцевий DECAPE ",$H$56:$H$60,2)</f>
        <v>0</v>
      </c>
      <c r="L362" s="305"/>
      <c r="M362" s="306">
        <f>Прайс!$I$85/2</f>
        <v>3935</v>
      </c>
      <c r="N362" s="245">
        <f t="shared" si="6"/>
        <v>0</v>
      </c>
      <c r="O362" s="305"/>
      <c r="P362" s="307"/>
      <c r="Q362" s="307"/>
      <c r="R362" s="303"/>
      <c r="S362" s="308"/>
      <c r="T362" s="309"/>
      <c r="U362" s="310"/>
      <c r="V362" s="310"/>
      <c r="AG362" s="312"/>
      <c r="AH362" s="312"/>
      <c r="AI362" s="312"/>
      <c r="AJ362" s="312"/>
      <c r="AK362" s="312"/>
      <c r="AL362" s="312"/>
      <c r="AM362" s="312"/>
      <c r="AN362" s="312"/>
      <c r="AO362" s="312"/>
      <c r="AP362" s="312"/>
      <c r="AQ362" s="313"/>
    </row>
    <row r="363" spans="1:43" ht="15.75" x14ac:dyDescent="0.25">
      <c r="A363" s="163">
        <v>278</v>
      </c>
      <c r="B363" s="233" t="s">
        <v>501</v>
      </c>
      <c r="C363" s="233"/>
      <c r="D363" s="233"/>
      <c r="E363" s="233"/>
      <c r="F363" s="233"/>
      <c r="G363" s="233"/>
      <c r="H363" s="233"/>
      <c r="I363" s="233"/>
      <c r="J363" s="233" t="s">
        <v>376</v>
      </c>
      <c r="K363" s="243">
        <f>SUMIFS($AI$56:$AI$60,$V$56:$V$60,"",$X$56:$X$60,"Матова фарба + патина+матовий лак (відкрита пора) ",$F$56:$F$60,16,$H$56:$H$60,1)</f>
        <v>0</v>
      </c>
      <c r="L363" s="254"/>
      <c r="M363" s="255">
        <f>Прайс!$H$90</f>
        <v>10990</v>
      </c>
      <c r="N363" s="245">
        <f t="shared" si="6"/>
        <v>0</v>
      </c>
      <c r="O363" s="254"/>
      <c r="P363" s="234"/>
      <c r="Q363" s="234"/>
      <c r="R363" s="233"/>
      <c r="S363" s="204"/>
      <c r="T363" s="205"/>
      <c r="U363" s="235"/>
      <c r="V363" s="235"/>
      <c r="AG363" s="236"/>
      <c r="AH363" s="236"/>
      <c r="AI363" s="236"/>
      <c r="AJ363" s="236"/>
      <c r="AK363" s="236"/>
      <c r="AL363" s="236"/>
      <c r="AM363" s="236"/>
      <c r="AN363" s="236"/>
      <c r="AO363" s="236"/>
      <c r="AP363" s="236"/>
      <c r="AQ363" s="237"/>
    </row>
    <row r="364" spans="1:43" ht="15.75" x14ac:dyDescent="0.25">
      <c r="A364" s="163">
        <v>279</v>
      </c>
      <c r="B364" s="233" t="s">
        <v>502</v>
      </c>
      <c r="C364" s="233"/>
      <c r="D364" s="233"/>
      <c r="E364" s="233"/>
      <c r="F364" s="233"/>
      <c r="G364" s="233"/>
      <c r="H364" s="233"/>
      <c r="I364" s="233"/>
      <c r="J364" s="233" t="s">
        <v>376</v>
      </c>
      <c r="K364" s="243">
        <f>SUMIFS($AI$56:$AI$60,$V$56:$V$60,"",$X$56:$X$60,"Матова фарба + патина+матовий лак (відкрита пора) ",$F$56:$F$60,16,$H$56:$H$60,2)</f>
        <v>0</v>
      </c>
      <c r="L364" s="254"/>
      <c r="M364" s="255">
        <f>Прайс!$I$90</f>
        <v>12340</v>
      </c>
      <c r="N364" s="245">
        <f t="shared" si="6"/>
        <v>0</v>
      </c>
      <c r="O364" s="254"/>
      <c r="P364" s="234"/>
      <c r="Q364" s="234"/>
      <c r="R364" s="233"/>
      <c r="S364" s="204"/>
      <c r="T364" s="205"/>
      <c r="U364" s="235"/>
      <c r="V364" s="235"/>
      <c r="AG364" s="236"/>
      <c r="AH364" s="236"/>
      <c r="AI364" s="236"/>
      <c r="AJ364" s="236"/>
      <c r="AK364" s="236"/>
      <c r="AL364" s="236"/>
      <c r="AM364" s="236"/>
      <c r="AN364" s="236"/>
      <c r="AO364" s="236"/>
      <c r="AP364" s="236"/>
      <c r="AQ364" s="237"/>
    </row>
    <row r="365" spans="1:43" ht="15.75" x14ac:dyDescent="0.25">
      <c r="A365" s="163">
        <v>280</v>
      </c>
      <c r="B365" s="233" t="s">
        <v>503</v>
      </c>
      <c r="C365" s="233"/>
      <c r="D365" s="233"/>
      <c r="E365" s="233"/>
      <c r="F365" s="233"/>
      <c r="G365" s="233"/>
      <c r="H365" s="233"/>
      <c r="I365" s="233"/>
      <c r="J365" s="233" t="s">
        <v>376</v>
      </c>
      <c r="K365" s="243">
        <f>SUMIFS($AI$56:$AI$60,$V$56:$V$60,"",$X$56:$X$60,"Матова фарба + патина+матовий лак (відкрита пора)",$F$56:$F$60,19,$H$56:$H$60,1)</f>
        <v>0</v>
      </c>
      <c r="L365" s="254"/>
      <c r="M365" s="255">
        <f>Прайс!$J$90</f>
        <v>11060</v>
      </c>
      <c r="N365" s="245">
        <f t="shared" si="6"/>
        <v>0</v>
      </c>
      <c r="O365" s="254"/>
      <c r="P365" s="234"/>
      <c r="Q365" s="234"/>
      <c r="R365" s="233"/>
      <c r="S365" s="204"/>
      <c r="T365" s="205"/>
      <c r="U365" s="235"/>
      <c r="V365" s="235"/>
      <c r="AG365" s="236"/>
      <c r="AH365" s="236"/>
      <c r="AI365" s="236"/>
      <c r="AJ365" s="236"/>
      <c r="AK365" s="236"/>
      <c r="AL365" s="236"/>
      <c r="AM365" s="236"/>
      <c r="AN365" s="236"/>
      <c r="AO365" s="236"/>
      <c r="AP365" s="236"/>
      <c r="AQ365" s="237"/>
    </row>
    <row r="366" spans="1:43" ht="15.75" x14ac:dyDescent="0.25">
      <c r="A366" s="163">
        <v>281</v>
      </c>
      <c r="B366" s="233" t="s">
        <v>504</v>
      </c>
      <c r="C366" s="233"/>
      <c r="D366" s="233"/>
      <c r="E366" s="233"/>
      <c r="F366" s="233"/>
      <c r="G366" s="233"/>
      <c r="H366" s="233"/>
      <c r="I366" s="233"/>
      <c r="J366" s="233" t="s">
        <v>376</v>
      </c>
      <c r="K366" s="243">
        <f>SUMIFS($AI$56:$AI$60,$V$56:$V$60,"",$X$56:$X$60,"Матова фарба + патина+матовий лак (відкрита пора)",$F$56:$F$60,19,$H$56:$H$60,2)</f>
        <v>0</v>
      </c>
      <c r="L366" s="254"/>
      <c r="M366" s="255">
        <f>Прайс!$K$90</f>
        <v>12410</v>
      </c>
      <c r="N366" s="245">
        <f t="shared" si="6"/>
        <v>0</v>
      </c>
      <c r="O366" s="254"/>
      <c r="P366" s="234"/>
      <c r="Q366" s="234"/>
      <c r="R366" s="233"/>
      <c r="S366" s="204"/>
      <c r="T366" s="205"/>
      <c r="U366" s="235"/>
      <c r="V366" s="235"/>
      <c r="AG366" s="236"/>
      <c r="AH366" s="236"/>
      <c r="AI366" s="236"/>
      <c r="AJ366" s="236"/>
      <c r="AK366" s="236"/>
      <c r="AL366" s="236"/>
      <c r="AM366" s="236"/>
      <c r="AN366" s="236"/>
      <c r="AO366" s="236"/>
      <c r="AP366" s="236"/>
      <c r="AQ366" s="237"/>
    </row>
    <row r="367" spans="1:43" ht="15.75" x14ac:dyDescent="0.25">
      <c r="A367" s="163">
        <v>282</v>
      </c>
      <c r="B367" s="233" t="s">
        <v>505</v>
      </c>
      <c r="C367" s="233"/>
      <c r="D367" s="233"/>
      <c r="E367" s="233"/>
      <c r="F367" s="233"/>
      <c r="G367" s="233"/>
      <c r="H367" s="233"/>
      <c r="I367" s="233"/>
      <c r="J367" s="233" t="s">
        <v>376</v>
      </c>
      <c r="K367" s="243">
        <f>SUMIFS($AI$56:$AI$60,$V$56:$V$60,"",$Y$56:$Y$60,"Матова фарба + патина+матовий лак (відкрита пора)",$H$56:$H$60,1)</f>
        <v>0</v>
      </c>
      <c r="L367" s="254"/>
      <c r="M367" s="255">
        <f>Прайс!$H$90/2</f>
        <v>5495</v>
      </c>
      <c r="N367" s="245">
        <f t="shared" si="6"/>
        <v>0</v>
      </c>
      <c r="O367" s="254"/>
      <c r="P367" s="234"/>
      <c r="Q367" s="234"/>
      <c r="R367" s="233"/>
      <c r="S367" s="204"/>
      <c r="T367" s="205"/>
      <c r="U367" s="235"/>
      <c r="V367" s="235"/>
      <c r="AG367" s="236"/>
      <c r="AH367" s="236"/>
      <c r="AI367" s="236"/>
      <c r="AJ367" s="236"/>
      <c r="AK367" s="236"/>
      <c r="AL367" s="236"/>
      <c r="AM367" s="236"/>
      <c r="AN367" s="236"/>
      <c r="AO367" s="236"/>
      <c r="AP367" s="236"/>
      <c r="AQ367" s="237"/>
    </row>
    <row r="368" spans="1:43" ht="15.75" x14ac:dyDescent="0.25">
      <c r="A368" s="163">
        <v>283</v>
      </c>
      <c r="B368" s="233" t="s">
        <v>506</v>
      </c>
      <c r="C368" s="233"/>
      <c r="D368" s="233"/>
      <c r="E368" s="233"/>
      <c r="F368" s="233"/>
      <c r="G368" s="233"/>
      <c r="H368" s="233"/>
      <c r="I368" s="233"/>
      <c r="J368" s="233" t="s">
        <v>376</v>
      </c>
      <c r="K368" s="243">
        <f>SUMIFS($AI$56:$AI$60,$V$56:$V$60,"",$Y$56:$Y$60,"Матова фарба + патина+матовий лак (відкрита пора)",$H$56:$H$60,2)</f>
        <v>0</v>
      </c>
      <c r="L368" s="254"/>
      <c r="M368" s="255">
        <f>Прайс!$I$90/2</f>
        <v>6170</v>
      </c>
      <c r="N368" s="245">
        <f t="shared" si="6"/>
        <v>0</v>
      </c>
      <c r="O368" s="265"/>
      <c r="P368" s="234"/>
      <c r="Q368" s="234"/>
      <c r="R368" s="266"/>
      <c r="S368" s="204"/>
      <c r="T368" s="205"/>
      <c r="U368" s="235"/>
      <c r="V368" s="205"/>
      <c r="AG368" s="236"/>
      <c r="AH368" s="236"/>
      <c r="AI368" s="236"/>
      <c r="AJ368" s="236"/>
      <c r="AK368" s="236"/>
      <c r="AL368" s="236"/>
      <c r="AM368" s="236"/>
      <c r="AN368" s="236"/>
      <c r="AO368" s="236"/>
      <c r="AP368" s="236"/>
      <c r="AQ368" s="237"/>
    </row>
    <row r="369" spans="1:43" s="311" customFormat="1" ht="15.75" x14ac:dyDescent="0.25">
      <c r="A369" s="163">
        <v>284</v>
      </c>
      <c r="B369" s="303" t="s">
        <v>507</v>
      </c>
      <c r="C369" s="303"/>
      <c r="D369" s="303"/>
      <c r="E369" s="303"/>
      <c r="F369" s="303"/>
      <c r="G369" s="303"/>
      <c r="H369" s="303"/>
      <c r="I369" s="303"/>
      <c r="J369" s="303" t="s">
        <v>376</v>
      </c>
      <c r="K369" s="304">
        <f>SUMIFS($AI$56:$AI$60,$V$56:$V$60,"",$X$56:$X$60,"Матова фарба відкрита пора",$F$56:$F$60,16,$H$56:$H$60,1)</f>
        <v>0</v>
      </c>
      <c r="L369" s="305"/>
      <c r="M369" s="306">
        <f>Прайс!$H$91</f>
        <v>9820</v>
      </c>
      <c r="N369" s="245">
        <f t="shared" si="6"/>
        <v>0</v>
      </c>
      <c r="O369" s="314"/>
      <c r="P369" s="307"/>
      <c r="Q369" s="307"/>
      <c r="R369" s="315"/>
      <c r="S369" s="308"/>
      <c r="T369" s="309"/>
      <c r="U369" s="310"/>
      <c r="V369" s="309"/>
      <c r="AG369" s="312"/>
      <c r="AH369" s="312"/>
      <c r="AI369" s="312"/>
      <c r="AJ369" s="312"/>
      <c r="AK369" s="312"/>
      <c r="AL369" s="312"/>
      <c r="AM369" s="312"/>
      <c r="AN369" s="312"/>
      <c r="AO369" s="312"/>
      <c r="AP369" s="312"/>
      <c r="AQ369" s="313"/>
    </row>
    <row r="370" spans="1:43" s="311" customFormat="1" ht="15.75" x14ac:dyDescent="0.25">
      <c r="A370" s="163">
        <v>285</v>
      </c>
      <c r="B370" s="303" t="s">
        <v>508</v>
      </c>
      <c r="C370" s="303"/>
      <c r="D370" s="303"/>
      <c r="E370" s="303"/>
      <c r="F370" s="303"/>
      <c r="G370" s="303"/>
      <c r="H370" s="303"/>
      <c r="I370" s="303"/>
      <c r="J370" s="303" t="s">
        <v>376</v>
      </c>
      <c r="K370" s="304">
        <f>SUMIFS($AI$56:$AI$60,$V$56:$V$60,"",$X$56:$X$60,"Матова фарба відкрита пора",$F$56:$F$60,16,$H$56:$H$60,2)</f>
        <v>0</v>
      </c>
      <c r="L370" s="305"/>
      <c r="M370" s="306">
        <f>Прайс!$I$91</f>
        <v>11170</v>
      </c>
      <c r="N370" s="245">
        <f t="shared" si="6"/>
        <v>0</v>
      </c>
      <c r="O370" s="314"/>
      <c r="P370" s="307"/>
      <c r="Q370" s="307"/>
      <c r="R370" s="315"/>
      <c r="S370" s="308"/>
      <c r="T370" s="309"/>
      <c r="U370" s="307"/>
      <c r="V370" s="308"/>
      <c r="AG370" s="312"/>
      <c r="AH370" s="312"/>
      <c r="AI370" s="312"/>
      <c r="AJ370" s="312"/>
      <c r="AK370" s="312"/>
      <c r="AL370" s="312"/>
      <c r="AM370" s="312"/>
      <c r="AN370" s="312"/>
      <c r="AO370" s="312"/>
      <c r="AP370" s="312"/>
      <c r="AQ370" s="313"/>
    </row>
    <row r="371" spans="1:43" s="311" customFormat="1" ht="15.75" x14ac:dyDescent="0.25">
      <c r="A371" s="163">
        <v>286</v>
      </c>
      <c r="B371" s="303" t="s">
        <v>509</v>
      </c>
      <c r="C371" s="303"/>
      <c r="D371" s="303"/>
      <c r="E371" s="303"/>
      <c r="F371" s="303"/>
      <c r="G371" s="303"/>
      <c r="H371" s="303"/>
      <c r="I371" s="303"/>
      <c r="J371" s="303" t="s">
        <v>376</v>
      </c>
      <c r="K371" s="304">
        <f>SUMIFS($AI$56:$AI$60,$V$56:$V$60,"",$X$56:$X$60,"Матова фарба відкрита пора",$F$56:$F$60,19,$H$56:$H$60,1)</f>
        <v>0</v>
      </c>
      <c r="L371" s="316"/>
      <c r="M371" s="306">
        <f>Прайс!$J$91</f>
        <v>9890</v>
      </c>
      <c r="N371" s="245">
        <f t="shared" si="6"/>
        <v>0</v>
      </c>
      <c r="O371" s="314"/>
      <c r="P371" s="307"/>
      <c r="Q371" s="307"/>
      <c r="R371" s="315"/>
      <c r="S371" s="308"/>
      <c r="T371" s="309"/>
      <c r="U371" s="310"/>
      <c r="V371" s="310"/>
      <c r="AG371" s="312"/>
      <c r="AH371" s="312"/>
      <c r="AI371" s="312"/>
      <c r="AJ371" s="312"/>
      <c r="AK371" s="312"/>
      <c r="AL371" s="312"/>
      <c r="AM371" s="312"/>
      <c r="AN371" s="312"/>
      <c r="AO371" s="312"/>
      <c r="AP371" s="312"/>
      <c r="AQ371" s="313"/>
    </row>
    <row r="372" spans="1:43" s="311" customFormat="1" ht="15.75" x14ac:dyDescent="0.25">
      <c r="A372" s="163">
        <v>287</v>
      </c>
      <c r="B372" s="303" t="s">
        <v>510</v>
      </c>
      <c r="C372" s="303"/>
      <c r="D372" s="303"/>
      <c r="E372" s="303"/>
      <c r="F372" s="303"/>
      <c r="G372" s="303"/>
      <c r="H372" s="303"/>
      <c r="I372" s="303"/>
      <c r="J372" s="303" t="s">
        <v>376</v>
      </c>
      <c r="K372" s="304">
        <f>SUMIFS($AI$56:$AI$60,$V$56:$V$60,"",$X$56:$X$60,"Матова фарба відкрита пора",$F$56:$F$60,19,$H$56:$H$60,2)</f>
        <v>0</v>
      </c>
      <c r="L372" s="316"/>
      <c r="M372" s="306">
        <f>Прайс!$K$91</f>
        <v>11240</v>
      </c>
      <c r="N372" s="245">
        <f t="shared" si="6"/>
        <v>0</v>
      </c>
      <c r="O372" s="314"/>
      <c r="P372" s="307"/>
      <c r="Q372" s="307"/>
      <c r="R372" s="315"/>
      <c r="S372" s="308"/>
      <c r="T372" s="309"/>
      <c r="U372" s="310"/>
      <c r="V372" s="310"/>
      <c r="AG372" s="317"/>
      <c r="AH372" s="317"/>
      <c r="AI372" s="317"/>
      <c r="AJ372" s="317"/>
      <c r="AK372" s="317"/>
      <c r="AL372" s="317"/>
      <c r="AM372" s="317"/>
      <c r="AN372" s="317"/>
      <c r="AO372" s="317"/>
      <c r="AP372" s="317"/>
      <c r="AQ372" s="318"/>
    </row>
    <row r="373" spans="1:43" s="311" customFormat="1" ht="15.75" x14ac:dyDescent="0.25">
      <c r="A373" s="163">
        <v>288</v>
      </c>
      <c r="B373" s="303" t="s">
        <v>511</v>
      </c>
      <c r="C373" s="303"/>
      <c r="D373" s="303"/>
      <c r="E373" s="303"/>
      <c r="F373" s="303"/>
      <c r="G373" s="303"/>
      <c r="H373" s="303"/>
      <c r="I373" s="303"/>
      <c r="J373" s="303" t="s">
        <v>376</v>
      </c>
      <c r="K373" s="304">
        <f>SUMIFS($AI$56:$AI$60,$V$56:$V$60,"",$Y$56:$Y$60,"Матова фарба відкрита пора",$H$56:$H$60,1)</f>
        <v>0</v>
      </c>
      <c r="L373" s="316"/>
      <c r="M373" s="306">
        <f>Прайс!$H$91/2</f>
        <v>4910</v>
      </c>
      <c r="N373" s="245">
        <f t="shared" si="6"/>
        <v>0</v>
      </c>
      <c r="O373" s="314"/>
      <c r="P373" s="307"/>
      <c r="Q373" s="307"/>
      <c r="R373" s="315"/>
      <c r="S373" s="308"/>
      <c r="T373" s="309"/>
      <c r="U373" s="310"/>
      <c r="V373" s="310"/>
      <c r="AG373" s="317"/>
      <c r="AH373" s="317"/>
      <c r="AI373" s="317"/>
      <c r="AJ373" s="317"/>
      <c r="AK373" s="317"/>
      <c r="AL373" s="317"/>
      <c r="AM373" s="317"/>
      <c r="AN373" s="317"/>
      <c r="AO373" s="317"/>
      <c r="AP373" s="317"/>
      <c r="AQ373" s="318"/>
    </row>
    <row r="374" spans="1:43" s="311" customFormat="1" ht="15.75" x14ac:dyDescent="0.25">
      <c r="A374" s="163">
        <v>289</v>
      </c>
      <c r="B374" s="303" t="s">
        <v>512</v>
      </c>
      <c r="C374" s="302"/>
      <c r="D374" s="319"/>
      <c r="E374" s="318"/>
      <c r="F374" s="319"/>
      <c r="G374" s="319"/>
      <c r="H374" s="319"/>
      <c r="I374" s="319"/>
      <c r="J374" s="303" t="s">
        <v>376</v>
      </c>
      <c r="K374" s="304">
        <f>SUMIFS($AI$56:$AI$60,$V$56:$V$60,"",$Y$56:$Y$60,"Матова фарба відкрита пора",$H$56:$H$60,2)</f>
        <v>0</v>
      </c>
      <c r="L374" s="320"/>
      <c r="M374" s="306">
        <f>Прайс!$I$91/2</f>
        <v>5585</v>
      </c>
      <c r="N374" s="245">
        <f t="shared" si="6"/>
        <v>0</v>
      </c>
      <c r="O374" s="320"/>
      <c r="P374" s="307"/>
      <c r="Q374" s="307"/>
      <c r="R374" s="319"/>
      <c r="S374" s="321"/>
      <c r="T374" s="321"/>
      <c r="U374" s="321"/>
      <c r="V374" s="321"/>
      <c r="AG374" s="322"/>
      <c r="AH374" s="322"/>
      <c r="AI374" s="322"/>
      <c r="AJ374" s="322"/>
      <c r="AK374" s="322"/>
      <c r="AL374" s="322"/>
      <c r="AM374" s="322"/>
      <c r="AN374" s="322"/>
      <c r="AO374" s="322"/>
      <c r="AP374" s="322"/>
      <c r="AQ374" s="318"/>
    </row>
    <row r="375" spans="1:43" ht="15.75" x14ac:dyDescent="0.25">
      <c r="A375" s="163">
        <v>290</v>
      </c>
      <c r="B375" s="233" t="s">
        <v>513</v>
      </c>
      <c r="C375" s="232"/>
      <c r="D375" s="234"/>
      <c r="E375" s="216"/>
      <c r="F375" s="234"/>
      <c r="G375" s="234"/>
      <c r="H375" s="234"/>
      <c r="I375" s="234"/>
      <c r="J375" s="233" t="s">
        <v>376</v>
      </c>
      <c r="K375" s="243">
        <f>SUMIFS($AI$56:$AI$60,$V$56:$V$60,"",$X$56:$X$60,"Тонування+патина+матовий лак (відкрита пора)",$F$56:$F$60,16,$H$56:$H$60,1)</f>
        <v>0</v>
      </c>
      <c r="L375" s="243"/>
      <c r="M375" s="255">
        <f>Прайс!$H$89</f>
        <v>11480</v>
      </c>
      <c r="N375" s="245">
        <f t="shared" si="6"/>
        <v>0</v>
      </c>
      <c r="O375" s="243"/>
      <c r="P375" s="239"/>
      <c r="Q375" s="239"/>
      <c r="R375" s="234"/>
      <c r="S375" s="144"/>
      <c r="T375" s="144"/>
      <c r="U375" s="144"/>
      <c r="V375" s="144"/>
      <c r="AG375" s="179"/>
      <c r="AH375" s="179"/>
      <c r="AI375" s="179"/>
      <c r="AJ375" s="179"/>
      <c r="AK375" s="179"/>
      <c r="AL375" s="179"/>
      <c r="AM375" s="179"/>
      <c r="AN375" s="179"/>
      <c r="AO375" s="179"/>
      <c r="AP375" s="179"/>
      <c r="AQ375" s="227"/>
    </row>
    <row r="376" spans="1:43" ht="15.75" x14ac:dyDescent="0.25">
      <c r="A376" s="163">
        <v>291</v>
      </c>
      <c r="B376" s="233" t="s">
        <v>514</v>
      </c>
      <c r="C376" s="232"/>
      <c r="D376" s="216"/>
      <c r="E376" s="239"/>
      <c r="F376" s="267"/>
      <c r="G376" s="267"/>
      <c r="H376" s="267"/>
      <c r="I376" s="267"/>
      <c r="J376" s="233" t="s">
        <v>376</v>
      </c>
      <c r="K376" s="243">
        <f>SUMIFS($AI$56:$AI$60,$V$56:$V$60,"",$X$56:$X$60,"Тонування+патина+матовий лак (відкрита пора)",$E$56:$E$60,16,$H$56:$H$60,2)</f>
        <v>0</v>
      </c>
      <c r="L376" s="268"/>
      <c r="M376" s="269">
        <f>Прайс!$I$89</f>
        <v>12830</v>
      </c>
      <c r="N376" s="245">
        <f t="shared" si="6"/>
        <v>0</v>
      </c>
      <c r="O376" s="268"/>
      <c r="P376" s="267"/>
      <c r="Q376" s="267"/>
      <c r="R376" s="267"/>
      <c r="S376" s="270"/>
      <c r="T376" s="270"/>
      <c r="U376" s="270"/>
      <c r="V376" s="270"/>
      <c r="AG376" s="271"/>
      <c r="AH376" s="271"/>
      <c r="AI376" s="271"/>
      <c r="AJ376" s="271"/>
      <c r="AK376" s="271"/>
      <c r="AL376" s="271"/>
      <c r="AM376" s="271"/>
      <c r="AN376" s="271"/>
      <c r="AO376" s="271"/>
      <c r="AP376" s="271"/>
      <c r="AQ376" s="271"/>
    </row>
    <row r="377" spans="1:43" ht="15.75" x14ac:dyDescent="0.25">
      <c r="A377" s="163">
        <v>292</v>
      </c>
      <c r="B377" s="233" t="s">
        <v>515</v>
      </c>
      <c r="C377" s="208"/>
      <c r="D377" s="271"/>
      <c r="E377" s="271"/>
      <c r="F377" s="271"/>
      <c r="G377" s="271"/>
      <c r="H377" s="271"/>
      <c r="I377" s="271"/>
      <c r="J377" s="233" t="s">
        <v>376</v>
      </c>
      <c r="K377" s="243">
        <f>SUMIFS($AI$56:$AI$60,$V$56:$V$60,"",$X$56:$X$60,"Тонування+патина+матовий лак (відкрита пора)",$F$56:$F$60,19,$H$56:$H$60,1)</f>
        <v>0</v>
      </c>
      <c r="L377" s="272"/>
      <c r="M377" s="273">
        <f>Прайс!$J$89</f>
        <v>11550</v>
      </c>
      <c r="N377" s="245">
        <f t="shared" si="6"/>
        <v>0</v>
      </c>
      <c r="O377" s="272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  <c r="AA377" s="271"/>
      <c r="AB377" s="271"/>
      <c r="AC377" s="271"/>
      <c r="AD377" s="271"/>
      <c r="AE377" s="271"/>
      <c r="AF377" s="271"/>
      <c r="AG377" s="271"/>
      <c r="AH377" s="271"/>
      <c r="AI377" s="271"/>
      <c r="AJ377" s="271"/>
      <c r="AK377" s="271"/>
      <c r="AL377" s="271"/>
      <c r="AM377" s="271"/>
      <c r="AN377" s="271"/>
      <c r="AO377" s="271"/>
      <c r="AP377" s="271"/>
      <c r="AQ377" s="271"/>
    </row>
    <row r="378" spans="1:43" ht="15.75" x14ac:dyDescent="0.25">
      <c r="A378" s="163">
        <v>293</v>
      </c>
      <c r="B378" s="233" t="s">
        <v>516</v>
      </c>
      <c r="C378" s="208"/>
      <c r="D378" s="208"/>
      <c r="E378" s="208"/>
      <c r="F378" s="208"/>
      <c r="G378" s="208"/>
      <c r="H378" s="208"/>
      <c r="I378" s="208"/>
      <c r="J378" s="233" t="s">
        <v>376</v>
      </c>
      <c r="K378" s="243">
        <f>SUMIFS($AI$56:$AI$60,$V$56:$V$60,"",$X$56:$X$60,"Тонування+патина+матовий лак (відкрита пора)",$F$56:$F$60,19,$H$56:$H$60,2)</f>
        <v>0</v>
      </c>
      <c r="L378" s="255"/>
      <c r="M378" s="255">
        <f>Прайс!$K$89</f>
        <v>12900</v>
      </c>
      <c r="N378" s="245">
        <f t="shared" si="6"/>
        <v>0</v>
      </c>
      <c r="O378" s="255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  <c r="AL378" s="208"/>
      <c r="AM378" s="208"/>
      <c r="AN378" s="208"/>
      <c r="AO378" s="208"/>
      <c r="AP378" s="208"/>
      <c r="AQ378" s="208"/>
    </row>
    <row r="379" spans="1:43" ht="15.75" x14ac:dyDescent="0.25">
      <c r="A379" s="163">
        <v>294</v>
      </c>
      <c r="B379" s="233" t="s">
        <v>517</v>
      </c>
      <c r="C379" s="208"/>
      <c r="D379" s="208"/>
      <c r="E379" s="208"/>
      <c r="F379" s="208"/>
      <c r="G379" s="208"/>
      <c r="H379" s="208"/>
      <c r="I379" s="208"/>
      <c r="J379" s="233" t="s">
        <v>376</v>
      </c>
      <c r="K379" s="243">
        <f>SUMIFS($AI$56:$AI$60,$V$56:$V$60,"",$Y$56:$Y$60,"Тонування+патина+матовий лак (відкрита пора)",$H$56:$H$60,1)</f>
        <v>0</v>
      </c>
      <c r="L379" s="255"/>
      <c r="M379" s="255">
        <f>Прайс!$H$89/2</f>
        <v>5740</v>
      </c>
      <c r="N379" s="245">
        <f t="shared" si="6"/>
        <v>0</v>
      </c>
      <c r="O379" s="255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  <c r="AL379" s="208"/>
      <c r="AM379" s="208"/>
      <c r="AN379" s="208"/>
      <c r="AO379" s="208"/>
      <c r="AP379" s="208"/>
      <c r="AQ379" s="208"/>
    </row>
    <row r="380" spans="1:43" ht="15.75" x14ac:dyDescent="0.25">
      <c r="A380" s="163">
        <v>295</v>
      </c>
      <c r="B380" s="233" t="s">
        <v>518</v>
      </c>
      <c r="J380" s="233" t="s">
        <v>376</v>
      </c>
      <c r="K380" s="243">
        <f>SUMIFS($AI$56:$AI$60,$V$56:$V$60,"",$Y$56:$Y$60,"Тонування+патина+матовий лак (відкрита пора)",$H$56:$H$60,2)</f>
        <v>0</v>
      </c>
      <c r="L380" s="255"/>
      <c r="M380" s="255">
        <f>Прайс!$I$89/2</f>
        <v>6415</v>
      </c>
      <c r="N380" s="245">
        <f t="shared" ref="N380:N399" si="7">K380*M380</f>
        <v>0</v>
      </c>
      <c r="O380" s="255"/>
    </row>
    <row r="381" spans="1:43" s="311" customFormat="1" ht="15.75" x14ac:dyDescent="0.25">
      <c r="A381" s="163">
        <v>296</v>
      </c>
      <c r="B381" s="303" t="s">
        <v>524</v>
      </c>
      <c r="J381" s="303" t="s">
        <v>376</v>
      </c>
      <c r="K381" s="304">
        <f>SUMIFS($AI$56:$AI$60,$V$56:$V$60,"",$X$56:$X$60,"Тонування+матовий лак (відкрита пора)",$F$56:$F$60,16,$H$56:$H$60,1)</f>
        <v>0</v>
      </c>
      <c r="L381" s="306"/>
      <c r="M381" s="306">
        <f>Прайс!$H$92</f>
        <v>10270</v>
      </c>
      <c r="N381" s="245">
        <f t="shared" si="7"/>
        <v>0</v>
      </c>
      <c r="O381" s="306"/>
    </row>
    <row r="382" spans="1:43" s="311" customFormat="1" ht="15.75" x14ac:dyDescent="0.25">
      <c r="A382" s="163">
        <v>297</v>
      </c>
      <c r="B382" s="303" t="s">
        <v>525</v>
      </c>
      <c r="J382" s="303" t="s">
        <v>376</v>
      </c>
      <c r="K382" s="304">
        <f>SUMIFS($AI$56:$AI$60,$V$56:$V$60,"",$X$56:$X$60,"Тонування+матовий лак (відкрита пора)",$E$56:$E$60,16,$H$56:$H$60,2)</f>
        <v>0</v>
      </c>
      <c r="L382" s="306"/>
      <c r="M382" s="306">
        <f>Прайс!$I$92</f>
        <v>11620</v>
      </c>
      <c r="N382" s="245">
        <f t="shared" si="7"/>
        <v>0</v>
      </c>
      <c r="O382" s="306"/>
    </row>
    <row r="383" spans="1:43" s="311" customFormat="1" ht="15.75" x14ac:dyDescent="0.25">
      <c r="A383" s="163">
        <v>298</v>
      </c>
      <c r="B383" s="303" t="s">
        <v>526</v>
      </c>
      <c r="J383" s="303" t="s">
        <v>376</v>
      </c>
      <c r="K383" s="304">
        <f>SUMIFS($AI$56:$AI$60,$V$56:$V$60,"",$X$56:$X$60,"Тонування+матовий лак (відкрита пора)",$F$56:$F$60,19,$H$56:$H$60,1)</f>
        <v>0</v>
      </c>
      <c r="L383" s="306"/>
      <c r="M383" s="306">
        <f>Прайс!$J$92</f>
        <v>10340</v>
      </c>
      <c r="N383" s="245">
        <f t="shared" si="7"/>
        <v>0</v>
      </c>
      <c r="O383" s="306"/>
    </row>
    <row r="384" spans="1:43" s="311" customFormat="1" ht="15.75" x14ac:dyDescent="0.25">
      <c r="A384" s="163">
        <v>299</v>
      </c>
      <c r="B384" s="303" t="s">
        <v>527</v>
      </c>
      <c r="J384" s="303" t="s">
        <v>376</v>
      </c>
      <c r="K384" s="304">
        <f>SUMIFS($AI$56:$AI$60,$V$56:$V$60,"",$X$56:$X$60,"Тонування+матовий лак (відкрита пора)",$F$56:$F$60,19,$H$56:$H$60,2)</f>
        <v>0</v>
      </c>
      <c r="L384" s="306"/>
      <c r="M384" s="306">
        <f>Прайс!$K$92</f>
        <v>11690</v>
      </c>
      <c r="N384" s="245">
        <f t="shared" si="7"/>
        <v>0</v>
      </c>
      <c r="O384" s="306"/>
    </row>
    <row r="385" spans="1:15" s="311" customFormat="1" ht="15.75" x14ac:dyDescent="0.25">
      <c r="A385" s="163">
        <v>300</v>
      </c>
      <c r="B385" s="303" t="s">
        <v>528</v>
      </c>
      <c r="J385" s="303" t="s">
        <v>376</v>
      </c>
      <c r="K385" s="304">
        <f>SUMIFS($AI$56:$AI$60,$V$56:$V$60,"",$Y$56:$Y$60,"Тонування+матовий лак (відкрита пора)",$H$56:$H$60,1)</f>
        <v>0</v>
      </c>
      <c r="L385" s="306"/>
      <c r="M385" s="306">
        <f>Прайс!$H$92*0.5</f>
        <v>5135</v>
      </c>
      <c r="N385" s="245">
        <f t="shared" si="7"/>
        <v>0</v>
      </c>
      <c r="O385" s="306"/>
    </row>
    <row r="386" spans="1:15" s="311" customFormat="1" ht="15.75" x14ac:dyDescent="0.25">
      <c r="A386" s="163">
        <v>301</v>
      </c>
      <c r="B386" s="303" t="s">
        <v>529</v>
      </c>
      <c r="J386" s="303" t="s">
        <v>376</v>
      </c>
      <c r="K386" s="304">
        <f>SUMIFS($AI$56:$AI$60,$V$56:$V$60,"",$Y$56:$Y$60,"Тонування+матовий лак (відкрита пора)",$H$56:$H$60,2)</f>
        <v>0</v>
      </c>
      <c r="L386" s="306"/>
      <c r="M386" s="306">
        <f>Прайс!$I$92*0.5</f>
        <v>5810</v>
      </c>
      <c r="N386" s="245">
        <f t="shared" si="7"/>
        <v>0</v>
      </c>
      <c r="O386" s="306"/>
    </row>
    <row r="387" spans="1:15" ht="15.75" x14ac:dyDescent="0.25">
      <c r="A387" s="163">
        <v>302</v>
      </c>
      <c r="B387" s="232" t="s">
        <v>377</v>
      </c>
      <c r="J387" s="233" t="s">
        <v>107</v>
      </c>
      <c r="K387" s="243">
        <f>SUMIF($J$4:$J$48,"Пряма без чверті",$E$4:$E$48)</f>
        <v>0</v>
      </c>
      <c r="L387" s="255"/>
      <c r="M387" s="255">
        <f>Прайс!$D$36</f>
        <v>160</v>
      </c>
      <c r="N387" s="245">
        <f t="shared" si="7"/>
        <v>0</v>
      </c>
      <c r="O387" s="255"/>
    </row>
    <row r="388" spans="1:15" ht="15.75" x14ac:dyDescent="0.25">
      <c r="A388" s="163">
        <v>303</v>
      </c>
      <c r="B388" s="232" t="s">
        <v>378</v>
      </c>
      <c r="J388" s="233" t="s">
        <v>107</v>
      </c>
      <c r="K388" s="243">
        <f>SUMIF($J$4:$J$48,"Пряма з чвертю",$E$4:$E$48)</f>
        <v>0</v>
      </c>
      <c r="L388" s="255"/>
      <c r="M388" s="255">
        <f>Прайс!$D$36+Прайс!$D$39</f>
        <v>215</v>
      </c>
      <c r="N388" s="245">
        <f t="shared" si="7"/>
        <v>0</v>
      </c>
      <c r="O388" s="255"/>
    </row>
    <row r="389" spans="1:15" ht="15.75" x14ac:dyDescent="0.25">
      <c r="A389" s="163">
        <v>304</v>
      </c>
      <c r="B389" s="232" t="s">
        <v>519</v>
      </c>
      <c r="J389" s="233" t="s">
        <v>107</v>
      </c>
      <c r="K389" s="243">
        <f>SUMIFS($E$4:$E$48,$J$4:$J$48,"Шпрос без чверті",$C$4:$C$48,"&lt;1")+SUMIFS($E$4:$E$48,$J$4:$J$48,"Шпрос без чверті",$C$4:$C$48,"=1")</f>
        <v>0</v>
      </c>
      <c r="L389" s="255"/>
      <c r="M389" s="255">
        <f>Прайс!$D$37</f>
        <v>450</v>
      </c>
      <c r="N389" s="245">
        <f t="shared" si="7"/>
        <v>0</v>
      </c>
      <c r="O389" s="255"/>
    </row>
    <row r="390" spans="1:15" ht="15.75" x14ac:dyDescent="0.25">
      <c r="A390" s="163">
        <v>305</v>
      </c>
      <c r="B390" s="232" t="s">
        <v>520</v>
      </c>
      <c r="J390" s="233" t="s">
        <v>107</v>
      </c>
      <c r="K390" s="243">
        <f>SUMIFS($E$4:$E$48,$J$4:$J$48,"Шпрос з чвертю",$C$4:$C$48,"&lt;1")+SUMIFS($E$4:$E$48,$J$4:$J$48,"Шпрос з чвертю",$C$4:$C$48,"=1")</f>
        <v>0</v>
      </c>
      <c r="L390" s="255"/>
      <c r="M390" s="255">
        <f>Прайс!$D$37+Прайс!$D$40</f>
        <v>1050</v>
      </c>
      <c r="N390" s="245">
        <f t="shared" si="7"/>
        <v>0</v>
      </c>
      <c r="O390" s="255"/>
    </row>
    <row r="391" spans="1:15" ht="15.75" x14ac:dyDescent="0.25">
      <c r="A391" s="163">
        <v>306</v>
      </c>
      <c r="B391" s="232" t="s">
        <v>521</v>
      </c>
      <c r="J391" s="233" t="s">
        <v>107</v>
      </c>
      <c r="K391" s="243">
        <f>SUMIFS($E$4:$E$48,$J$4:$J$48,"Шпрос без чверті",$C$4:$C$48,"&gt;1")</f>
        <v>0</v>
      </c>
      <c r="L391" s="255"/>
      <c r="M391" s="255">
        <f>Прайс!$F$37</f>
        <v>500</v>
      </c>
      <c r="N391" s="245">
        <f t="shared" si="7"/>
        <v>0</v>
      </c>
      <c r="O391" s="255"/>
    </row>
    <row r="392" spans="1:15" ht="15.75" x14ac:dyDescent="0.25">
      <c r="A392" s="163">
        <v>307</v>
      </c>
      <c r="B392" s="232" t="s">
        <v>522</v>
      </c>
      <c r="J392" s="233" t="s">
        <v>107</v>
      </c>
      <c r="K392" s="243">
        <f>SUMIFS($E$4:$E$48,$J$4:$J$48,"Шпрос з чвертю",$C$4:$C$48,"&gt;1")</f>
        <v>0</v>
      </c>
      <c r="L392" s="255"/>
      <c r="M392" s="255">
        <f>Прайс!$F$37++Прайс!$D$40</f>
        <v>1100</v>
      </c>
      <c r="N392" s="245">
        <f t="shared" si="7"/>
        <v>0</v>
      </c>
      <c r="O392" s="255"/>
    </row>
    <row r="393" spans="1:15" ht="15.75" x14ac:dyDescent="0.25">
      <c r="A393" s="163">
        <v>308</v>
      </c>
      <c r="B393" s="232" t="s">
        <v>523</v>
      </c>
      <c r="J393" s="266" t="s">
        <v>107</v>
      </c>
      <c r="K393" s="243">
        <f>SUMIFS($E$56:$E$60,$J$56:$J$60,"Шпрос з чвертю")+SUMIFS($E$56:$E$60,$J$56:$J$60,"Шпрос без чверті")+SUMIFS($E$56:$E$60,$J$56:$J$60,"Пряма з чвертю")+SUMIFS($E$56:$E$60,$J$56:$J$60,"Пряма без чверті")</f>
        <v>0</v>
      </c>
      <c r="L393" s="255"/>
      <c r="M393" s="255">
        <f>Прайс!$D$38</f>
        <v>300</v>
      </c>
      <c r="N393" s="245">
        <f t="shared" si="7"/>
        <v>0</v>
      </c>
      <c r="O393" s="255"/>
    </row>
    <row r="394" spans="1:15" ht="15.75" x14ac:dyDescent="0.25">
      <c r="A394" s="163">
        <v>309</v>
      </c>
      <c r="B394" s="233" t="s">
        <v>204</v>
      </c>
      <c r="J394" s="266" t="s">
        <v>107</v>
      </c>
      <c r="K394" s="243">
        <f>SUM(AC4:AC48)+SUM(AC56:AC60)</f>
        <v>0</v>
      </c>
      <c r="L394" s="255"/>
      <c r="M394" s="255">
        <f>Прайс!$D$46</f>
        <v>25</v>
      </c>
      <c r="N394" s="245">
        <f t="shared" si="7"/>
        <v>0</v>
      </c>
      <c r="O394" s="255"/>
    </row>
    <row r="395" spans="1:15" ht="15.75" x14ac:dyDescent="0.25">
      <c r="A395" s="163">
        <v>310</v>
      </c>
      <c r="B395" s="233" t="s">
        <v>379</v>
      </c>
      <c r="J395" s="266" t="s">
        <v>107</v>
      </c>
      <c r="K395" s="243">
        <f>SUMIF($R$4:$R$48,"&gt;1",$E$4:$E$48)</f>
        <v>0</v>
      </c>
      <c r="L395" s="255"/>
      <c r="M395" s="255">
        <f>Прайс!$D$59</f>
        <v>315</v>
      </c>
      <c r="N395" s="245">
        <f t="shared" si="7"/>
        <v>0</v>
      </c>
      <c r="O395" s="255"/>
    </row>
    <row r="396" spans="1:15" ht="15.75" x14ac:dyDescent="0.25">
      <c r="A396" s="163">
        <v>311</v>
      </c>
      <c r="B396" s="232" t="s">
        <v>257</v>
      </c>
      <c r="J396" s="266" t="s">
        <v>106</v>
      </c>
      <c r="K396" s="243">
        <f>SUMIF($M$4:$M$48,"J № 1",$N$4:$N$48)+SUMIF($M$4:$M$48,"J № 2",$N$4:$N$48)+SUMIF($M$4:$M$48,"J № 2L",$N$4:$N$48)+SUMIF($M$4:$M$48,"J № 2R",$N$4:$N$48)</f>
        <v>0</v>
      </c>
      <c r="L396" s="255"/>
      <c r="M396" s="255">
        <f>Прайс!$D$43</f>
        <v>200</v>
      </c>
      <c r="N396" s="245">
        <f t="shared" si="7"/>
        <v>0</v>
      </c>
      <c r="O396" s="255"/>
    </row>
    <row r="397" spans="1:15" ht="15.75" x14ac:dyDescent="0.25">
      <c r="A397" s="163">
        <v>312</v>
      </c>
      <c r="B397" s="232" t="s">
        <v>258</v>
      </c>
      <c r="J397" s="266" t="s">
        <v>107</v>
      </c>
      <c r="K397" s="243">
        <f>SUMIF($M$4:$M$48,"J № 3",$E$4:$E$48)+SUMIF($M$4:$M$48,"J № 4",$E$4:$E$48)+SUMIF($M$4:$M$48,"J № 5",$E$4:$E$48)+SUMIF($M$4:$M$48,"J № 6",$E$4:$E$48)+SUMIF($M$4:$M$48,"J № 7",$E$4:$E$48)+SUMIF($M$4:$M$48,"AJ № 3L",$E$4:$E$48)+SUMIF($M$4:$M$48,"AJ № 3R",$E$4:$E$48)+SUMIF($M$4:$M$48,"AJ № 4L",$E$4:$E$48)+SUMIF($M$4:$M$48,"AJ № 4R",$E$4:$E$48)+SUMIF($M$4:$M$48,"AJ № 5L",$E$4:$E$48)+SUMIF($M$4:$M$48,"AJ № 5R",$E$4:$E$48)+SUMIF($M$4:$M$48,"AJ № 3",$E$4:$E$48)+SUMIF($M$4:$M$48,"AJ № 4",$E$4:$E$48)+SUMIF($M$4:$M$48,"AJ № 5",$E$4:$E$48)+SUMIF($M$4:$M$48,"L",$E$4:$E$48)+SUMIF($M$4:$M$48,"AL",$E$4:$E$48)+SUMIF($M$4:$M$48,"J № 3L",$E$4:$E$48)+SUMIF($M$4:$M$48,"J № 3R",$E$4:$E$48)+SUMIF($M$4:$M$48,"AJ № 2",$E$4:$E$48)+SUMIF($M$4:$M$48,"AJ № 2L",$E$4:$E$48)+SUMIF($M$4:$M$48,"AJ № 2R",$E$4:$E$48)+SUMIF($M$4:$M$48,"U",$E$4:$E$48)+SUMIF($M$4:$M$48,"V",$E$4:$E$48)+SUMIF($M$4:$M$48,"J № 4L",$E$4:$E$48)+SUMIF($M$4:$M$48,"J № 4R",$E$4:$E$48)+SUMIF($M$4:$M$48,"J № 5L",$E$4:$E$48)+SUMIF($M$4:$M$48,"J № 5R",$E$4:$E$48)</f>
        <v>0</v>
      </c>
      <c r="L397" s="255"/>
      <c r="M397" s="255">
        <f>Прайс!$D$44</f>
        <v>200</v>
      </c>
      <c r="N397" s="245">
        <f t="shared" si="7"/>
        <v>0</v>
      </c>
      <c r="O397" s="255"/>
    </row>
    <row r="398" spans="1:15" ht="15.75" x14ac:dyDescent="0.25">
      <c r="A398" s="163">
        <v>313</v>
      </c>
      <c r="B398" s="179" t="s">
        <v>680</v>
      </c>
      <c r="J398" s="266" t="s">
        <v>106</v>
      </c>
      <c r="K398" s="243">
        <f>SUMIF($M$56:$M$60,"J № 1",$N$56:$N$60)</f>
        <v>0</v>
      </c>
      <c r="L398" s="255"/>
      <c r="M398" s="255">
        <f>Прайс!$D$45</f>
        <v>500</v>
      </c>
      <c r="N398" s="245">
        <f t="shared" si="7"/>
        <v>0</v>
      </c>
      <c r="O398" s="255"/>
    </row>
    <row r="399" spans="1:15" ht="15.75" x14ac:dyDescent="0.25">
      <c r="A399" s="163">
        <v>314</v>
      </c>
      <c r="B399" s="232" t="s">
        <v>259</v>
      </c>
      <c r="J399" s="266" t="s">
        <v>106</v>
      </c>
      <c r="K399" s="243">
        <f>SUMIF($M$4:$M$48,"45 град.",$N$4:$N$48)</f>
        <v>0</v>
      </c>
      <c r="L399" s="255"/>
      <c r="M399" s="255">
        <f>Прайс!$D$42</f>
        <v>190</v>
      </c>
      <c r="N399" s="245">
        <f t="shared" si="7"/>
        <v>0</v>
      </c>
      <c r="O399" s="255"/>
    </row>
  </sheetData>
  <sheetProtection algorithmName="SHA-512" hashValue="orY88VZbpoVbkHYyE3DDhzNxdvuLl9OuDqdRE7bJXavQwzXlRe4t/WJ4Fj/kQ6B7EUsQnAKPK5v8pX8PbNZP0A==" saltValue="TmRUFJleQSdAW3ujxRpA/Q==" spinCount="100000" sheet="1" formatCells="0" formatColumns="0" formatRows="0" insertColumns="0" insertRows="0" insertHyperlinks="0" deleteColumns="0" deleteRows="0" sort="0" autoFilter="0" pivotTables="0"/>
  <mergeCells count="13">
    <mergeCell ref="B62:D62"/>
    <mergeCell ref="T55:U55"/>
    <mergeCell ref="AF55:AG55"/>
    <mergeCell ref="L3:M3"/>
    <mergeCell ref="P3:Q3"/>
    <mergeCell ref="T3:U3"/>
    <mergeCell ref="AF3:AG3"/>
    <mergeCell ref="L55:M55"/>
    <mergeCell ref="P55:Q55"/>
    <mergeCell ref="J3:K3"/>
    <mergeCell ref="J55:K55"/>
    <mergeCell ref="AC55:AD55"/>
    <mergeCell ref="AC3:AD3"/>
  </mergeCells>
  <phoneticPr fontId="2" type="noConversion"/>
  <conditionalFormatting sqref="O56:O60">
    <cfRule type="expression" dxfId="0" priority="2">
      <formula>AND($G$21&gt;38,$G$21&lt;35)</formula>
    </cfRule>
  </conditionalFormatting>
  <dataValidations disablePrompts="1" count="1">
    <dataValidation allowBlank="1" showInputMessage="1" showErrorMessage="1" promptTitle="Тыльная сторона" prompt="Тип покрытия на тыльной стороне детали" sqref="Z56:AB60" xr:uid="{00000000-0002-0000-01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C4:T78"/>
  <sheetViews>
    <sheetView workbookViewId="0">
      <selection activeCell="H29" sqref="H29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10" max="10" width="4.28515625" bestFit="1" customWidth="1"/>
    <col min="11" max="11" width="18.140625" bestFit="1" customWidth="1"/>
    <col min="12" max="12" width="26.5703125" bestFit="1" customWidth="1"/>
    <col min="13" max="13" width="40.28515625" bestFit="1" customWidth="1"/>
    <col min="14" max="14" width="9" customWidth="1"/>
    <col min="15" max="15" width="6" bestFit="1" customWidth="1"/>
    <col min="18" max="18" width="13.42578125" bestFit="1" customWidth="1"/>
    <col min="19" max="19" width="10.7109375" bestFit="1" customWidth="1"/>
  </cols>
  <sheetData>
    <row r="4" spans="3:20" ht="18.75" customHeight="1" x14ac:dyDescent="0.2">
      <c r="C4" t="s">
        <v>53</v>
      </c>
      <c r="D4" t="s">
        <v>54</v>
      </c>
      <c r="E4" t="s">
        <v>203</v>
      </c>
      <c r="F4" t="s">
        <v>207</v>
      </c>
      <c r="G4" t="s">
        <v>82</v>
      </c>
      <c r="H4" t="s">
        <v>104</v>
      </c>
      <c r="I4" t="s">
        <v>103</v>
      </c>
      <c r="J4" s="67" t="s">
        <v>109</v>
      </c>
      <c r="K4" t="s">
        <v>83</v>
      </c>
      <c r="L4" t="s">
        <v>321</v>
      </c>
      <c r="M4" s="22" t="s">
        <v>41</v>
      </c>
      <c r="N4" s="22">
        <v>0</v>
      </c>
      <c r="O4" s="22" t="s">
        <v>42</v>
      </c>
      <c r="R4" t="s">
        <v>110</v>
      </c>
      <c r="S4" t="s">
        <v>111</v>
      </c>
    </row>
    <row r="5" spans="3:20" ht="18.75" customHeight="1" x14ac:dyDescent="0.2">
      <c r="C5" s="67">
        <v>16</v>
      </c>
      <c r="D5" t="s">
        <v>55</v>
      </c>
      <c r="E5" t="s">
        <v>199</v>
      </c>
      <c r="F5" t="s">
        <v>206</v>
      </c>
      <c r="G5" t="s">
        <v>59</v>
      </c>
      <c r="H5" t="s">
        <v>88</v>
      </c>
      <c r="I5" t="s">
        <v>106</v>
      </c>
      <c r="J5" s="67">
        <v>200</v>
      </c>
      <c r="K5" s="22" t="s">
        <v>187</v>
      </c>
      <c r="L5" s="22" t="s">
        <v>190</v>
      </c>
      <c r="M5" s="22" t="s">
        <v>17</v>
      </c>
      <c r="N5" s="22">
        <v>1350</v>
      </c>
      <c r="O5" s="22" t="s">
        <v>43</v>
      </c>
      <c r="Q5" s="22" t="s">
        <v>212</v>
      </c>
      <c r="T5" t="s">
        <v>365</v>
      </c>
    </row>
    <row r="6" spans="3:20" x14ac:dyDescent="0.2">
      <c r="C6" s="67">
        <v>19</v>
      </c>
      <c r="D6" t="s">
        <v>56</v>
      </c>
      <c r="E6" t="s">
        <v>200</v>
      </c>
      <c r="F6" t="s">
        <v>208</v>
      </c>
      <c r="G6" t="s">
        <v>60</v>
      </c>
      <c r="H6" t="s">
        <v>89</v>
      </c>
      <c r="I6" t="s">
        <v>106</v>
      </c>
      <c r="J6" s="67">
        <v>200</v>
      </c>
      <c r="K6" s="22" t="s">
        <v>194</v>
      </c>
      <c r="L6" s="22" t="s">
        <v>191</v>
      </c>
      <c r="M6" s="22" t="s">
        <v>18</v>
      </c>
      <c r="N6" s="22">
        <v>1430</v>
      </c>
      <c r="O6" s="22" t="s">
        <v>44</v>
      </c>
      <c r="Q6" s="22" t="s">
        <v>211</v>
      </c>
      <c r="T6" t="s">
        <v>366</v>
      </c>
    </row>
    <row r="7" spans="3:20" x14ac:dyDescent="0.2">
      <c r="C7" t="s">
        <v>198</v>
      </c>
      <c r="D7" t="s">
        <v>57</v>
      </c>
      <c r="E7" t="s">
        <v>201</v>
      </c>
      <c r="F7" t="s">
        <v>209</v>
      </c>
      <c r="G7" t="s">
        <v>61</v>
      </c>
      <c r="H7" t="s">
        <v>90</v>
      </c>
      <c r="I7" t="s">
        <v>107</v>
      </c>
      <c r="J7" s="67">
        <v>200</v>
      </c>
      <c r="K7" s="22" t="s">
        <v>49</v>
      </c>
      <c r="L7" s="22" t="s">
        <v>48</v>
      </c>
      <c r="M7" s="22" t="s">
        <v>19</v>
      </c>
      <c r="N7" s="22">
        <v>1570</v>
      </c>
      <c r="O7" s="22" t="s">
        <v>45</v>
      </c>
      <c r="T7" t="s">
        <v>367</v>
      </c>
    </row>
    <row r="8" spans="3:20" x14ac:dyDescent="0.2">
      <c r="C8" s="67"/>
      <c r="D8" t="s">
        <v>58</v>
      </c>
      <c r="E8" t="s">
        <v>202</v>
      </c>
      <c r="F8" t="s">
        <v>210</v>
      </c>
      <c r="G8" t="s">
        <v>63</v>
      </c>
      <c r="H8" t="s">
        <v>91</v>
      </c>
      <c r="I8" t="s">
        <v>107</v>
      </c>
      <c r="J8" s="67">
        <v>200</v>
      </c>
      <c r="K8" s="22" t="s">
        <v>188</v>
      </c>
      <c r="L8" s="22" t="s">
        <v>286</v>
      </c>
      <c r="M8" s="22" t="s">
        <v>20</v>
      </c>
      <c r="N8" s="22">
        <v>1650</v>
      </c>
      <c r="O8" s="22" t="s">
        <v>46</v>
      </c>
      <c r="T8" t="s">
        <v>368</v>
      </c>
    </row>
    <row r="9" spans="3:20" x14ac:dyDescent="0.2">
      <c r="G9" t="s">
        <v>62</v>
      </c>
      <c r="H9" t="s">
        <v>92</v>
      </c>
      <c r="I9" t="s">
        <v>107</v>
      </c>
      <c r="J9" s="67">
        <v>200</v>
      </c>
      <c r="K9" s="22" t="s">
        <v>195</v>
      </c>
      <c r="L9" s="22" t="s">
        <v>287</v>
      </c>
      <c r="M9" s="22" t="s">
        <v>23</v>
      </c>
      <c r="N9" s="22">
        <v>1410</v>
      </c>
      <c r="O9" s="22" t="s">
        <v>47</v>
      </c>
    </row>
    <row r="10" spans="3:20" ht="15" customHeight="1" x14ac:dyDescent="0.2">
      <c r="G10" t="s">
        <v>361</v>
      </c>
      <c r="H10" t="s">
        <v>93</v>
      </c>
      <c r="I10" t="s">
        <v>107</v>
      </c>
      <c r="J10" s="67">
        <v>200</v>
      </c>
      <c r="K10" s="22" t="s">
        <v>196</v>
      </c>
      <c r="L10" s="22" t="s">
        <v>328</v>
      </c>
      <c r="M10" s="22" t="s">
        <v>24</v>
      </c>
      <c r="N10" s="22">
        <v>1490</v>
      </c>
      <c r="O10" t="s">
        <v>50</v>
      </c>
    </row>
    <row r="11" spans="3:20" ht="15" customHeight="1" x14ac:dyDescent="0.2">
      <c r="H11" t="s">
        <v>94</v>
      </c>
      <c r="I11" t="s">
        <v>107</v>
      </c>
      <c r="J11" s="67">
        <v>200</v>
      </c>
      <c r="K11" s="22" t="s">
        <v>192</v>
      </c>
      <c r="L11" s="22" t="s">
        <v>322</v>
      </c>
      <c r="M11" t="s">
        <v>25</v>
      </c>
      <c r="N11">
        <v>1980</v>
      </c>
      <c r="O11" s="22" t="s">
        <v>362</v>
      </c>
    </row>
    <row r="12" spans="3:20" ht="15" customHeight="1" x14ac:dyDescent="0.2">
      <c r="H12" t="s">
        <v>95</v>
      </c>
      <c r="I12" t="s">
        <v>106</v>
      </c>
      <c r="J12" s="67">
        <v>200</v>
      </c>
      <c r="K12" s="22" t="s">
        <v>193</v>
      </c>
      <c r="L12" s="22" t="s">
        <v>340</v>
      </c>
      <c r="M12" t="s">
        <v>26</v>
      </c>
      <c r="N12">
        <v>2060</v>
      </c>
      <c r="O12" s="22" t="s">
        <v>363</v>
      </c>
    </row>
    <row r="13" spans="3:20" ht="15" customHeight="1" x14ac:dyDescent="0.2">
      <c r="H13" t="s">
        <v>96</v>
      </c>
      <c r="I13" t="s">
        <v>108</v>
      </c>
      <c r="J13" s="67">
        <v>200</v>
      </c>
      <c r="K13" s="22" t="s">
        <v>666</v>
      </c>
      <c r="L13" s="22" t="s">
        <v>339</v>
      </c>
      <c r="M13" t="s">
        <v>27</v>
      </c>
      <c r="N13">
        <v>1980</v>
      </c>
    </row>
    <row r="14" spans="3:20" ht="15" customHeight="1" x14ac:dyDescent="0.2">
      <c r="H14" t="s">
        <v>97</v>
      </c>
      <c r="I14" t="s">
        <v>108</v>
      </c>
      <c r="J14" s="67">
        <v>200</v>
      </c>
      <c r="K14" s="22" t="s">
        <v>189</v>
      </c>
      <c r="L14" s="22" t="s">
        <v>338</v>
      </c>
      <c r="M14" t="s">
        <v>28</v>
      </c>
      <c r="N14">
        <v>2060</v>
      </c>
    </row>
    <row r="15" spans="3:20" ht="15" customHeight="1" x14ac:dyDescent="0.2">
      <c r="H15" t="s">
        <v>98</v>
      </c>
      <c r="I15" t="s">
        <v>108</v>
      </c>
      <c r="J15" s="67">
        <v>200</v>
      </c>
      <c r="K15" s="22" t="s">
        <v>197</v>
      </c>
      <c r="L15" s="22" t="s">
        <v>337</v>
      </c>
      <c r="M15" t="s">
        <v>41</v>
      </c>
      <c r="N15">
        <v>0</v>
      </c>
    </row>
    <row r="16" spans="3:20" ht="15" customHeight="1" x14ac:dyDescent="0.2">
      <c r="H16" t="s">
        <v>99</v>
      </c>
      <c r="I16" t="s">
        <v>106</v>
      </c>
      <c r="J16" s="67">
        <v>200</v>
      </c>
      <c r="K16" s="22" t="s">
        <v>364</v>
      </c>
      <c r="L16" s="22" t="s">
        <v>186</v>
      </c>
      <c r="M16" t="s">
        <v>36</v>
      </c>
      <c r="N16">
        <v>3680</v>
      </c>
    </row>
    <row r="17" spans="3:14" x14ac:dyDescent="0.2">
      <c r="H17" t="s">
        <v>100</v>
      </c>
      <c r="I17" t="s">
        <v>108</v>
      </c>
      <c r="J17" s="67">
        <v>200</v>
      </c>
      <c r="L17" s="22" t="s">
        <v>83</v>
      </c>
      <c r="M17" t="s">
        <v>35</v>
      </c>
      <c r="N17">
        <v>3810</v>
      </c>
    </row>
    <row r="18" spans="3:14" x14ac:dyDescent="0.2">
      <c r="H18" t="s">
        <v>101</v>
      </c>
      <c r="I18" t="s">
        <v>108</v>
      </c>
      <c r="J18" s="67">
        <v>200</v>
      </c>
      <c r="M18" t="s">
        <v>34</v>
      </c>
      <c r="N18">
        <v>3900</v>
      </c>
    </row>
    <row r="19" spans="3:14" x14ac:dyDescent="0.2">
      <c r="H19" t="s">
        <v>102</v>
      </c>
      <c r="I19" t="s">
        <v>108</v>
      </c>
      <c r="J19" s="67">
        <v>200</v>
      </c>
      <c r="M19" t="s">
        <v>33</v>
      </c>
      <c r="N19">
        <v>4030</v>
      </c>
    </row>
    <row r="20" spans="3:14" x14ac:dyDescent="0.2">
      <c r="H20" t="s">
        <v>105</v>
      </c>
      <c r="I20" t="s">
        <v>106</v>
      </c>
      <c r="J20" s="67">
        <v>190</v>
      </c>
      <c r="M20" s="22" t="s">
        <v>31</v>
      </c>
      <c r="N20">
        <v>3740</v>
      </c>
    </row>
    <row r="21" spans="3:14" x14ac:dyDescent="0.2">
      <c r="H21" t="s">
        <v>539</v>
      </c>
      <c r="M21" s="22" t="s">
        <v>32</v>
      </c>
      <c r="N21">
        <v>3870</v>
      </c>
    </row>
    <row r="22" spans="3:14" x14ac:dyDescent="0.2">
      <c r="H22" t="s">
        <v>540</v>
      </c>
      <c r="M22" t="s">
        <v>37</v>
      </c>
      <c r="N22">
        <v>4310</v>
      </c>
    </row>
    <row r="23" spans="3:14" x14ac:dyDescent="0.2">
      <c r="H23" t="s">
        <v>541</v>
      </c>
      <c r="M23" t="s">
        <v>38</v>
      </c>
      <c r="N23">
        <v>4440</v>
      </c>
    </row>
    <row r="24" spans="3:14" x14ac:dyDescent="0.2">
      <c r="H24" t="s">
        <v>363</v>
      </c>
      <c r="M24" t="s">
        <v>39</v>
      </c>
      <c r="N24">
        <v>4310</v>
      </c>
    </row>
    <row r="25" spans="3:14" x14ac:dyDescent="0.2">
      <c r="M25" t="s">
        <v>40</v>
      </c>
      <c r="N25">
        <v>4440</v>
      </c>
    </row>
    <row r="31" spans="3:14" x14ac:dyDescent="0.2">
      <c r="C31" t="s">
        <v>260</v>
      </c>
      <c r="D31" t="s">
        <v>261</v>
      </c>
      <c r="E31" t="s">
        <v>262</v>
      </c>
      <c r="F31" t="s">
        <v>263</v>
      </c>
      <c r="G31" t="s">
        <v>264</v>
      </c>
      <c r="H31" t="s">
        <v>265</v>
      </c>
      <c r="M31" s="67" t="s">
        <v>318</v>
      </c>
      <c r="N31" s="67" t="s">
        <v>319</v>
      </c>
    </row>
    <row r="32" spans="3:14" ht="51" x14ac:dyDescent="0.2">
      <c r="G32" t="s">
        <v>105</v>
      </c>
      <c r="H32" t="s">
        <v>88</v>
      </c>
      <c r="K32" s="114" t="s">
        <v>323</v>
      </c>
      <c r="M32" s="67" t="s">
        <v>320</v>
      </c>
      <c r="N32" s="67"/>
    </row>
    <row r="33" spans="8:14" x14ac:dyDescent="0.2">
      <c r="H33" t="s">
        <v>89</v>
      </c>
      <c r="K33" t="s">
        <v>327</v>
      </c>
      <c r="M33" s="67">
        <v>1</v>
      </c>
      <c r="N33" s="67">
        <v>2</v>
      </c>
    </row>
    <row r="34" spans="8:14" x14ac:dyDescent="0.2">
      <c r="H34" t="s">
        <v>90</v>
      </c>
      <c r="K34" t="s">
        <v>325</v>
      </c>
      <c r="M34" s="67">
        <v>2</v>
      </c>
      <c r="N34" s="67">
        <v>2</v>
      </c>
    </row>
    <row r="35" spans="8:14" x14ac:dyDescent="0.2">
      <c r="H35" t="s">
        <v>91</v>
      </c>
      <c r="K35" t="s">
        <v>326</v>
      </c>
      <c r="M35" s="67">
        <v>3</v>
      </c>
      <c r="N35" s="67">
        <v>2</v>
      </c>
    </row>
    <row r="36" spans="8:14" x14ac:dyDescent="0.2">
      <c r="H36" t="s">
        <v>92</v>
      </c>
      <c r="M36" s="67">
        <v>4</v>
      </c>
      <c r="N36" s="67">
        <v>2</v>
      </c>
    </row>
    <row r="37" spans="8:14" x14ac:dyDescent="0.2">
      <c r="H37" t="s">
        <v>93</v>
      </c>
      <c r="M37" s="67">
        <v>5</v>
      </c>
      <c r="N37" s="67">
        <v>2</v>
      </c>
    </row>
    <row r="38" spans="8:14" x14ac:dyDescent="0.2">
      <c r="H38" t="s">
        <v>94</v>
      </c>
      <c r="M38" s="67">
        <v>6</v>
      </c>
      <c r="N38" s="67">
        <v>1</v>
      </c>
    </row>
    <row r="39" spans="8:14" x14ac:dyDescent="0.2">
      <c r="H39" t="s">
        <v>95</v>
      </c>
      <c r="M39" s="67">
        <v>7</v>
      </c>
      <c r="N39" s="67">
        <v>1</v>
      </c>
    </row>
    <row r="40" spans="8:14" x14ac:dyDescent="0.2">
      <c r="H40" t="s">
        <v>96</v>
      </c>
      <c r="M40" s="67">
        <v>8</v>
      </c>
      <c r="N40" s="67">
        <v>1</v>
      </c>
    </row>
    <row r="41" spans="8:14" x14ac:dyDescent="0.2">
      <c r="H41" t="s">
        <v>97</v>
      </c>
      <c r="M41" s="67">
        <v>9</v>
      </c>
      <c r="N41" s="67">
        <v>1</v>
      </c>
    </row>
    <row r="42" spans="8:14" x14ac:dyDescent="0.2">
      <c r="H42" t="s">
        <v>98</v>
      </c>
      <c r="M42" s="67">
        <v>10</v>
      </c>
      <c r="N42" s="67">
        <v>2</v>
      </c>
    </row>
    <row r="43" spans="8:14" x14ac:dyDescent="0.2">
      <c r="H43" t="s">
        <v>99</v>
      </c>
      <c r="M43" s="67">
        <v>11</v>
      </c>
      <c r="N43" s="67">
        <v>2</v>
      </c>
    </row>
    <row r="44" spans="8:14" x14ac:dyDescent="0.2">
      <c r="H44" t="s">
        <v>100</v>
      </c>
      <c r="M44" s="67">
        <v>12</v>
      </c>
      <c r="N44" s="67">
        <v>2</v>
      </c>
    </row>
    <row r="45" spans="8:14" x14ac:dyDescent="0.2">
      <c r="H45" t="s">
        <v>101</v>
      </c>
      <c r="M45" s="67">
        <v>13</v>
      </c>
      <c r="N45" s="67">
        <v>2</v>
      </c>
    </row>
    <row r="46" spans="8:14" x14ac:dyDescent="0.2">
      <c r="H46" t="s">
        <v>102</v>
      </c>
      <c r="M46" s="67">
        <v>14</v>
      </c>
      <c r="N46" s="67">
        <v>1</v>
      </c>
    </row>
    <row r="47" spans="8:14" x14ac:dyDescent="0.2">
      <c r="H47" t="s">
        <v>105</v>
      </c>
      <c r="M47" s="67">
        <v>15</v>
      </c>
      <c r="N47" s="67">
        <v>2</v>
      </c>
    </row>
    <row r="48" spans="8:14" x14ac:dyDescent="0.2">
      <c r="M48" s="67">
        <v>16</v>
      </c>
      <c r="N48" s="67">
        <v>2</v>
      </c>
    </row>
    <row r="49" spans="13:14" x14ac:dyDescent="0.2">
      <c r="M49" s="67">
        <v>17</v>
      </c>
      <c r="N49" s="67">
        <v>2</v>
      </c>
    </row>
    <row r="50" spans="13:14" x14ac:dyDescent="0.2">
      <c r="M50" s="67">
        <v>18</v>
      </c>
      <c r="N50" s="67">
        <v>2</v>
      </c>
    </row>
    <row r="51" spans="13:14" x14ac:dyDescent="0.2">
      <c r="M51" s="67">
        <v>19</v>
      </c>
      <c r="N51" s="67">
        <v>2</v>
      </c>
    </row>
    <row r="52" spans="13:14" x14ac:dyDescent="0.2">
      <c r="M52" s="67">
        <v>20</v>
      </c>
      <c r="N52" s="67">
        <v>1</v>
      </c>
    </row>
    <row r="53" spans="13:14" x14ac:dyDescent="0.2">
      <c r="M53" s="67">
        <v>21</v>
      </c>
      <c r="N53" s="67">
        <v>2</v>
      </c>
    </row>
    <row r="54" spans="13:14" x14ac:dyDescent="0.2">
      <c r="M54" s="67">
        <v>22</v>
      </c>
      <c r="N54" s="67">
        <v>2</v>
      </c>
    </row>
    <row r="55" spans="13:14" x14ac:dyDescent="0.2">
      <c r="M55" s="67">
        <v>23</v>
      </c>
      <c r="N55" s="67">
        <v>2</v>
      </c>
    </row>
    <row r="56" spans="13:14" x14ac:dyDescent="0.2">
      <c r="M56" s="67">
        <v>24</v>
      </c>
      <c r="N56" s="67">
        <v>2</v>
      </c>
    </row>
    <row r="57" spans="13:14" x14ac:dyDescent="0.2">
      <c r="M57" s="67">
        <v>25</v>
      </c>
      <c r="N57" s="67">
        <v>2</v>
      </c>
    </row>
    <row r="58" spans="13:14" x14ac:dyDescent="0.2">
      <c r="M58" s="67">
        <v>26</v>
      </c>
      <c r="N58" s="67">
        <v>2</v>
      </c>
    </row>
    <row r="59" spans="13:14" x14ac:dyDescent="0.2">
      <c r="M59" s="67">
        <v>27</v>
      </c>
      <c r="N59" s="67">
        <v>2</v>
      </c>
    </row>
    <row r="60" spans="13:14" x14ac:dyDescent="0.2">
      <c r="M60" s="67">
        <v>28</v>
      </c>
      <c r="N60" s="67">
        <v>2</v>
      </c>
    </row>
    <row r="61" spans="13:14" x14ac:dyDescent="0.2">
      <c r="M61" s="67">
        <v>29</v>
      </c>
      <c r="N61" s="67">
        <v>2</v>
      </c>
    </row>
    <row r="62" spans="13:14" x14ac:dyDescent="0.2">
      <c r="M62" s="67">
        <v>30</v>
      </c>
      <c r="N62" s="67">
        <v>2</v>
      </c>
    </row>
    <row r="63" spans="13:14" x14ac:dyDescent="0.2">
      <c r="M63" s="67">
        <v>31</v>
      </c>
      <c r="N63" s="67">
        <v>2</v>
      </c>
    </row>
    <row r="64" spans="13:14" x14ac:dyDescent="0.2">
      <c r="M64" s="67">
        <v>32</v>
      </c>
      <c r="N64" s="67">
        <v>2</v>
      </c>
    </row>
    <row r="65" spans="13:14" x14ac:dyDescent="0.2">
      <c r="M65" s="67">
        <v>33</v>
      </c>
      <c r="N65" s="67">
        <v>1</v>
      </c>
    </row>
    <row r="66" spans="13:14" x14ac:dyDescent="0.2">
      <c r="M66" s="67">
        <v>34</v>
      </c>
      <c r="N66" s="67">
        <v>1</v>
      </c>
    </row>
    <row r="67" spans="13:14" x14ac:dyDescent="0.2">
      <c r="M67" s="67">
        <v>35</v>
      </c>
      <c r="N67" s="67">
        <v>2</v>
      </c>
    </row>
    <row r="68" spans="13:14" x14ac:dyDescent="0.2">
      <c r="M68" s="67">
        <v>36</v>
      </c>
      <c r="N68" s="67">
        <v>2</v>
      </c>
    </row>
    <row r="69" spans="13:14" x14ac:dyDescent="0.2">
      <c r="M69" s="67">
        <v>37</v>
      </c>
      <c r="N69" s="67">
        <v>1</v>
      </c>
    </row>
    <row r="70" spans="13:14" x14ac:dyDescent="0.2">
      <c r="M70" s="67">
        <v>38</v>
      </c>
      <c r="N70" s="67">
        <v>2</v>
      </c>
    </row>
    <row r="71" spans="13:14" x14ac:dyDescent="0.2">
      <c r="M71" s="67">
        <v>39</v>
      </c>
      <c r="N71" s="67">
        <v>2</v>
      </c>
    </row>
    <row r="72" spans="13:14" x14ac:dyDescent="0.2">
      <c r="M72" s="67">
        <v>40</v>
      </c>
      <c r="N72" s="67">
        <v>2</v>
      </c>
    </row>
    <row r="73" spans="13:14" x14ac:dyDescent="0.2">
      <c r="M73" s="67">
        <v>41</v>
      </c>
      <c r="N73" s="67">
        <v>2</v>
      </c>
    </row>
    <row r="74" spans="13:14" x14ac:dyDescent="0.2">
      <c r="M74" s="67">
        <v>42</v>
      </c>
      <c r="N74" s="67">
        <v>2</v>
      </c>
    </row>
    <row r="75" spans="13:14" x14ac:dyDescent="0.2">
      <c r="M75" s="67">
        <v>43</v>
      </c>
      <c r="N75" s="67">
        <v>2</v>
      </c>
    </row>
    <row r="76" spans="13:14" x14ac:dyDescent="0.2">
      <c r="M76" s="67">
        <v>44</v>
      </c>
      <c r="N76" s="67">
        <v>2</v>
      </c>
    </row>
    <row r="77" spans="13:14" x14ac:dyDescent="0.2">
      <c r="M77" s="67">
        <v>45</v>
      </c>
      <c r="N77" s="67">
        <v>2</v>
      </c>
    </row>
    <row r="78" spans="13:14" x14ac:dyDescent="0.2">
      <c r="M78" s="67">
        <v>46</v>
      </c>
      <c r="N78" s="67">
        <v>2</v>
      </c>
    </row>
  </sheetData>
  <sheetProtection algorithmName="SHA-512" hashValue="RxgCNrPmwC1tJUcaISvGZvxsiaLrBJb86n2A/2AUsbAW+FMkeYNUSgEPqZ+1WTvGXGftwmT83ZkkJx4KypMWAw==" saltValue="EYTI/BsGXKt7PFioPW4o8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>
    <tabColor theme="8" tint="0.79998168889431442"/>
  </sheetPr>
  <dimension ref="B2:L353"/>
  <sheetViews>
    <sheetView tabSelected="1" topLeftCell="A8" workbookViewId="0">
      <selection activeCell="H14" sqref="H14"/>
    </sheetView>
  </sheetViews>
  <sheetFormatPr defaultRowHeight="12.75" x14ac:dyDescent="0.2"/>
  <cols>
    <col min="2" max="2" width="6.140625" customWidth="1"/>
    <col min="3" max="3" width="13.28515625" customWidth="1"/>
    <col min="5" max="5" width="10.140625" bestFit="1" customWidth="1"/>
    <col min="7" max="7" width="7.140625" customWidth="1"/>
    <col min="8" max="8" width="41.42578125" customWidth="1"/>
    <col min="11" max="11" width="10.7109375" customWidth="1"/>
    <col min="12" max="12" width="11.42578125" customWidth="1"/>
  </cols>
  <sheetData>
    <row r="2" spans="2:12" x14ac:dyDescent="0.2">
      <c r="L2" s="85" t="s">
        <v>0</v>
      </c>
    </row>
    <row r="3" spans="2:12" x14ac:dyDescent="0.2">
      <c r="L3" s="85" t="s">
        <v>64</v>
      </c>
    </row>
    <row r="4" spans="2:12" x14ac:dyDescent="0.2">
      <c r="L4" s="85" t="s">
        <v>65</v>
      </c>
    </row>
    <row r="5" spans="2:12" x14ac:dyDescent="0.2">
      <c r="L5" s="85" t="s">
        <v>2</v>
      </c>
    </row>
    <row r="6" spans="2:12" x14ac:dyDescent="0.2">
      <c r="L6" s="86" t="s">
        <v>51</v>
      </c>
    </row>
    <row r="7" spans="2:12" x14ac:dyDescent="0.2">
      <c r="L7" s="87" t="s">
        <v>52</v>
      </c>
    </row>
    <row r="9" spans="2:12" ht="15" x14ac:dyDescent="0.25">
      <c r="B9" s="386" t="s">
        <v>228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</row>
    <row r="10" spans="2:12" x14ac:dyDescent="0.2">
      <c r="B10" s="163"/>
      <c r="C10" s="163"/>
      <c r="D10" s="163"/>
      <c r="E10" s="163"/>
      <c r="F10" s="164" t="s">
        <v>66</v>
      </c>
      <c r="G10" s="165" t="str">
        <f>Бланк!J9</f>
        <v>CLASSIC</v>
      </c>
      <c r="H10" s="163"/>
      <c r="I10" s="163"/>
      <c r="J10" s="163"/>
      <c r="K10" s="163"/>
      <c r="L10" s="163"/>
    </row>
    <row r="11" spans="2:12" x14ac:dyDescent="0.2">
      <c r="B11" s="163"/>
      <c r="C11" s="163"/>
      <c r="D11" s="163"/>
      <c r="E11" s="163"/>
      <c r="F11" s="164"/>
      <c r="G11" s="165"/>
      <c r="H11" s="163"/>
      <c r="I11" s="163"/>
      <c r="J11" s="163"/>
      <c r="K11" s="163"/>
      <c r="L11" s="163"/>
    </row>
    <row r="12" spans="2:12" ht="15" x14ac:dyDescent="0.25">
      <c r="B12" s="387" t="s">
        <v>229</v>
      </c>
      <c r="C12" s="387"/>
      <c r="D12" s="388">
        <f>Бланк!$D$10</f>
        <v>0</v>
      </c>
      <c r="E12" s="388"/>
      <c r="F12" s="166"/>
      <c r="G12" s="166"/>
      <c r="H12" s="166"/>
      <c r="I12" s="166"/>
      <c r="J12" s="166"/>
      <c r="K12" s="166"/>
      <c r="L12" s="166"/>
    </row>
    <row r="13" spans="2:12" x14ac:dyDescent="0.2"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</row>
    <row r="14" spans="2:12" ht="14.25" x14ac:dyDescent="0.2">
      <c r="B14" s="166"/>
      <c r="C14" s="166"/>
      <c r="D14" s="167" t="s">
        <v>238</v>
      </c>
      <c r="E14" s="168">
        <f ca="1">TODAY()</f>
        <v>45693</v>
      </c>
      <c r="F14" s="166"/>
      <c r="G14" s="166"/>
      <c r="H14" s="166"/>
      <c r="I14" s="166"/>
      <c r="J14" s="166"/>
      <c r="K14" s="166"/>
      <c r="L14" s="166"/>
    </row>
    <row r="15" spans="2:12" ht="14.25" x14ac:dyDescent="0.2">
      <c r="B15" s="166"/>
      <c r="C15" s="166"/>
      <c r="D15" s="167" t="s">
        <v>239</v>
      </c>
      <c r="E15" s="166">
        <f>Бланк!AF11</f>
        <v>0</v>
      </c>
      <c r="F15" s="166"/>
      <c r="G15" s="166"/>
      <c r="H15" s="166"/>
      <c r="I15" s="166"/>
      <c r="J15" s="166"/>
      <c r="K15" s="166"/>
      <c r="L15" s="166"/>
    </row>
    <row r="16" spans="2:12" ht="14.25" x14ac:dyDescent="0.2">
      <c r="B16" s="166"/>
      <c r="C16" s="166"/>
      <c r="D16" s="167" t="s">
        <v>240</v>
      </c>
      <c r="E16" s="166">
        <f>Бланк!$AF$12</f>
        <v>0</v>
      </c>
      <c r="F16" s="166"/>
      <c r="G16" s="166"/>
      <c r="H16" s="166"/>
      <c r="I16" s="166"/>
      <c r="J16" s="166"/>
      <c r="K16" s="166"/>
      <c r="L16" s="166"/>
    </row>
    <row r="17" spans="2:12" ht="14.25" x14ac:dyDescent="0.2">
      <c r="B17" s="166"/>
      <c r="C17" s="166"/>
      <c r="D17" s="167" t="s">
        <v>241</v>
      </c>
      <c r="E17" s="166">
        <f>Бланк!$AF$13</f>
        <v>0</v>
      </c>
      <c r="F17" s="166"/>
      <c r="G17" s="166"/>
      <c r="H17" s="166"/>
      <c r="I17" s="166"/>
      <c r="J17" s="166"/>
      <c r="K17" s="166"/>
      <c r="L17" s="166"/>
    </row>
    <row r="18" spans="2:12" ht="14.25" x14ac:dyDescent="0.2">
      <c r="B18" s="166"/>
      <c r="C18" s="166"/>
      <c r="D18" s="167" t="s">
        <v>242</v>
      </c>
      <c r="E18" s="166">
        <f>Бланк!$AF$14</f>
        <v>0</v>
      </c>
      <c r="F18" s="166"/>
      <c r="G18" s="166"/>
      <c r="H18" s="166"/>
      <c r="I18" s="166"/>
      <c r="J18" s="166"/>
      <c r="K18" s="166"/>
      <c r="L18" s="166"/>
    </row>
    <row r="19" spans="2:12" x14ac:dyDescent="0.2"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</row>
    <row r="20" spans="2:12" x14ac:dyDescent="0.2">
      <c r="B20" s="169" t="s">
        <v>3</v>
      </c>
      <c r="C20" s="389" t="s">
        <v>681</v>
      </c>
      <c r="D20" s="389"/>
      <c r="E20" s="389"/>
      <c r="F20" s="389"/>
      <c r="G20" s="389"/>
      <c r="H20" s="389"/>
      <c r="I20" s="169" t="s">
        <v>103</v>
      </c>
      <c r="J20" s="169" t="s">
        <v>227</v>
      </c>
      <c r="K20" s="170" t="s">
        <v>232</v>
      </c>
      <c r="L20" s="171" t="s">
        <v>231</v>
      </c>
    </row>
    <row r="21" spans="2:12" x14ac:dyDescent="0.2">
      <c r="B21" s="93">
        <f>SUBTOTAL(103,$C$21:$C21)</f>
        <v>1</v>
      </c>
      <c r="C21" s="385" t="str">
        <f>Просчет!B86</f>
        <v>Матове покриття до 16 мм, гладкий фасад</v>
      </c>
      <c r="D21" s="385"/>
      <c r="E21" s="385"/>
      <c r="F21" s="385"/>
      <c r="G21" s="385"/>
      <c r="H21" s="385"/>
      <c r="I21" s="93" t="str">
        <f>Просчет!J86</f>
        <v>м²</v>
      </c>
      <c r="J21" s="93">
        <f>ROUND(Просчет!K86,3)</f>
        <v>0</v>
      </c>
      <c r="K21" s="110">
        <f>Просчет!M86</f>
        <v>2550</v>
      </c>
      <c r="L21" s="111">
        <f>J21*K21</f>
        <v>0</v>
      </c>
    </row>
    <row r="22" spans="2:12" x14ac:dyDescent="0.2">
      <c r="B22" s="169">
        <f>SUBTOTAL(103,$C$21:$C22)</f>
        <v>2</v>
      </c>
      <c r="C22" s="385" t="str">
        <f>Просчет!B87</f>
        <v>Матове покриття 19 мм, гладкий фасад</v>
      </c>
      <c r="D22" s="385"/>
      <c r="E22" s="385"/>
      <c r="F22" s="385"/>
      <c r="G22" s="385"/>
      <c r="H22" s="385"/>
      <c r="I22" s="93" t="str">
        <f>Просчет!J87</f>
        <v>м²</v>
      </c>
      <c r="J22" s="93">
        <f>ROUND(Просчет!K87,3)</f>
        <v>0</v>
      </c>
      <c r="K22" s="110">
        <f>Просчет!M87</f>
        <v>2620</v>
      </c>
      <c r="L22" s="111">
        <f t="shared" ref="L22:L85" si="0">J22*K22</f>
        <v>0</v>
      </c>
    </row>
    <row r="23" spans="2:12" x14ac:dyDescent="0.2">
      <c r="B23" s="169">
        <f>SUBTOTAL(103,$C$21:$C23)</f>
        <v>3</v>
      </c>
      <c r="C23" s="385" t="str">
        <f>Просчет!B88</f>
        <v>Матове покриття 22 мм, гладкий фасад</v>
      </c>
      <c r="D23" s="385"/>
      <c r="E23" s="385"/>
      <c r="F23" s="385"/>
      <c r="G23" s="385"/>
      <c r="H23" s="385"/>
      <c r="I23" s="93" t="str">
        <f>Просчет!J88</f>
        <v>м²</v>
      </c>
      <c r="J23" s="93">
        <f>ROUND(Просчет!K88,3)</f>
        <v>0</v>
      </c>
      <c r="K23" s="110">
        <f>Просчет!M88</f>
        <v>3320</v>
      </c>
      <c r="L23" s="111">
        <f t="shared" si="0"/>
        <v>0</v>
      </c>
    </row>
    <row r="24" spans="2:12" x14ac:dyDescent="0.2">
      <c r="B24" s="93">
        <f>SUBTOTAL(103,$C$21:$C24)</f>
        <v>4</v>
      </c>
      <c r="C24" s="385" t="str">
        <f>Просчет!B89</f>
        <v>Матове покриття другої сторони, гладкий фасад</v>
      </c>
      <c r="D24" s="385"/>
      <c r="E24" s="385"/>
      <c r="F24" s="385"/>
      <c r="G24" s="385"/>
      <c r="H24" s="385"/>
      <c r="I24" s="93" t="str">
        <f>Просчет!J89</f>
        <v>м²</v>
      </c>
      <c r="J24" s="93">
        <f>ROUND(Просчет!K89,3)</f>
        <v>0</v>
      </c>
      <c r="K24" s="110">
        <f>Просчет!M89</f>
        <v>2050</v>
      </c>
      <c r="L24" s="111">
        <f t="shared" si="0"/>
        <v>0</v>
      </c>
    </row>
    <row r="25" spans="2:12" x14ac:dyDescent="0.2">
      <c r="B25" s="93">
        <f>SUBTOTAL(103,$C$21:$C25)</f>
        <v>5</v>
      </c>
      <c r="C25" s="385" t="str">
        <f>Просчет!B90</f>
        <v>Софт покриття до 16 мм, гладкий фасад</v>
      </c>
      <c r="D25" s="385"/>
      <c r="E25" s="385"/>
      <c r="F25" s="385"/>
      <c r="G25" s="385"/>
      <c r="H25" s="385"/>
      <c r="I25" s="93" t="str">
        <f>Просчет!J90</f>
        <v>м²</v>
      </c>
      <c r="J25" s="93">
        <f>ROUND(Просчет!K90,3)</f>
        <v>0</v>
      </c>
      <c r="K25" s="110">
        <f>Просчет!M90</f>
        <v>2550</v>
      </c>
      <c r="L25" s="111">
        <f t="shared" si="0"/>
        <v>0</v>
      </c>
    </row>
    <row r="26" spans="2:12" x14ac:dyDescent="0.2">
      <c r="B26" s="93">
        <f>SUBTOTAL(103,$C$21:$C26)</f>
        <v>6</v>
      </c>
      <c r="C26" s="385" t="str">
        <f>Просчет!B91</f>
        <v>Софт покриття 19 мм, гладкий фасад</v>
      </c>
      <c r="D26" s="385"/>
      <c r="E26" s="385"/>
      <c r="F26" s="385"/>
      <c r="G26" s="385"/>
      <c r="H26" s="385"/>
      <c r="I26" s="93" t="str">
        <f>Просчет!J91</f>
        <v>м²</v>
      </c>
      <c r="J26" s="93">
        <f>ROUND(Просчет!K91,3)</f>
        <v>0</v>
      </c>
      <c r="K26" s="110">
        <f>Просчет!M91</f>
        <v>2620</v>
      </c>
      <c r="L26" s="111">
        <f t="shared" si="0"/>
        <v>0</v>
      </c>
    </row>
    <row r="27" spans="2:12" x14ac:dyDescent="0.2">
      <c r="B27" s="93">
        <f>SUBTOTAL(103,$C$21:$C27)</f>
        <v>7</v>
      </c>
      <c r="C27" s="385" t="str">
        <f>Просчет!B92</f>
        <v>Софт покриття 22 мм, гладкий фасад</v>
      </c>
      <c r="D27" s="385"/>
      <c r="E27" s="385"/>
      <c r="F27" s="385"/>
      <c r="G27" s="385"/>
      <c r="H27" s="385"/>
      <c r="I27" s="93" t="str">
        <f>Просчет!J92</f>
        <v>м²</v>
      </c>
      <c r="J27" s="93">
        <f>ROUND(Просчет!K92,3)</f>
        <v>0</v>
      </c>
      <c r="K27" s="110">
        <f>Просчет!M92</f>
        <v>3320</v>
      </c>
      <c r="L27" s="111">
        <f t="shared" si="0"/>
        <v>0</v>
      </c>
    </row>
    <row r="28" spans="2:12" x14ac:dyDescent="0.2">
      <c r="B28" s="93">
        <f>SUBTOTAL(103,$C$21:$C28)</f>
        <v>8</v>
      </c>
      <c r="C28" s="385" t="str">
        <f>Просчет!B93</f>
        <v>Софт покриття другої сторони, гладкий фасад</v>
      </c>
      <c r="D28" s="385"/>
      <c r="E28" s="385"/>
      <c r="F28" s="385"/>
      <c r="G28" s="385"/>
      <c r="H28" s="385"/>
      <c r="I28" s="93" t="str">
        <f>Просчет!J93</f>
        <v>м²</v>
      </c>
      <c r="J28" s="93">
        <f>ROUND(Просчет!K93,3)</f>
        <v>0</v>
      </c>
      <c r="K28" s="110">
        <f>Просчет!M93</f>
        <v>2050</v>
      </c>
      <c r="L28" s="111">
        <f t="shared" si="0"/>
        <v>0</v>
      </c>
    </row>
    <row r="29" spans="2:12" x14ac:dyDescent="0.2">
      <c r="B29" s="93">
        <f>SUBTOTAL(103,$C$21:$C29)</f>
        <v>9</v>
      </c>
      <c r="C29" s="385" t="str">
        <f>Просчет!B94</f>
        <v>Глянцеве покриття з поліруванням до 16 мм, гладкий фасад</v>
      </c>
      <c r="D29" s="385"/>
      <c r="E29" s="385"/>
      <c r="F29" s="385"/>
      <c r="G29" s="385"/>
      <c r="H29" s="385"/>
      <c r="I29" s="93" t="str">
        <f>Просчет!J94</f>
        <v>м²</v>
      </c>
      <c r="J29" s="93">
        <f>ROUND(Просчет!K94,3)</f>
        <v>0</v>
      </c>
      <c r="K29" s="110">
        <f>Просчет!M94</f>
        <v>3040</v>
      </c>
      <c r="L29" s="111">
        <f t="shared" si="0"/>
        <v>0</v>
      </c>
    </row>
    <row r="30" spans="2:12" x14ac:dyDescent="0.2">
      <c r="B30" s="93">
        <f>SUBTOTAL(103,$C$21:$C30)</f>
        <v>10</v>
      </c>
      <c r="C30" s="385" t="str">
        <f>Просчет!B95</f>
        <v>Глянцеве покриття з поліруванням 19 мм, гладкий фасад</v>
      </c>
      <c r="D30" s="385"/>
      <c r="E30" s="385"/>
      <c r="F30" s="385"/>
      <c r="G30" s="385"/>
      <c r="H30" s="385"/>
      <c r="I30" s="93" t="str">
        <f>Просчет!J95</f>
        <v>м²</v>
      </c>
      <c r="J30" s="93">
        <f>ROUND(Просчет!K95,3)</f>
        <v>0</v>
      </c>
      <c r="K30" s="110">
        <f>Просчет!M95</f>
        <v>3110</v>
      </c>
      <c r="L30" s="111">
        <f t="shared" si="0"/>
        <v>0</v>
      </c>
    </row>
    <row r="31" spans="2:12" x14ac:dyDescent="0.2">
      <c r="B31" s="93">
        <f>SUBTOTAL(103,$C$21:$C31)</f>
        <v>11</v>
      </c>
      <c r="C31" s="385" t="str">
        <f>Просчет!B96</f>
        <v>Глянцеве покриття з поліруванням 22 мм, гладкий фасад</v>
      </c>
      <c r="D31" s="385"/>
      <c r="E31" s="385"/>
      <c r="F31" s="385"/>
      <c r="G31" s="385"/>
      <c r="H31" s="385"/>
      <c r="I31" s="93" t="str">
        <f>Просчет!J96</f>
        <v>м²</v>
      </c>
      <c r="J31" s="93">
        <f>ROUND(Просчет!K96,3)</f>
        <v>0</v>
      </c>
      <c r="K31" s="110">
        <f>Просчет!M96</f>
        <v>3810</v>
      </c>
      <c r="L31" s="111">
        <f t="shared" si="0"/>
        <v>0</v>
      </c>
    </row>
    <row r="32" spans="2:12" x14ac:dyDescent="0.2">
      <c r="B32" s="93">
        <f>SUBTOTAL(103,$C$21:$C32)</f>
        <v>12</v>
      </c>
      <c r="C32" s="385" t="str">
        <f>Просчет!B97</f>
        <v>Глянцеве покриття другої сторони, гладкий фасад</v>
      </c>
      <c r="D32" s="385"/>
      <c r="E32" s="385"/>
      <c r="F32" s="385"/>
      <c r="G32" s="385"/>
      <c r="H32" s="385"/>
      <c r="I32" s="93" t="str">
        <f>Просчет!J97</f>
        <v>м²</v>
      </c>
      <c r="J32" s="93">
        <f>ROUND(Просчет!K97,3)</f>
        <v>0</v>
      </c>
      <c r="K32" s="110">
        <f>Просчет!M97</f>
        <v>2540</v>
      </c>
      <c r="L32" s="111">
        <f t="shared" si="0"/>
        <v>0</v>
      </c>
    </row>
    <row r="33" spans="2:12" x14ac:dyDescent="0.2">
      <c r="B33" s="93">
        <f>SUBTOTAL(103,$C$21:$C33)</f>
        <v>13</v>
      </c>
      <c r="C33" s="385" t="str">
        <f>Просчет!B98</f>
        <v>Спецефект Перламутр срібло/золото + глянцевий лак з поліруванням до 16 мм, гладкий фасад</v>
      </c>
      <c r="D33" s="385"/>
      <c r="E33" s="385"/>
      <c r="F33" s="385"/>
      <c r="G33" s="385"/>
      <c r="H33" s="385"/>
      <c r="I33" s="93" t="str">
        <f>Просчет!J98</f>
        <v>м²</v>
      </c>
      <c r="J33" s="93">
        <f>ROUND(Просчет!K98,3)</f>
        <v>0</v>
      </c>
      <c r="K33" s="110">
        <f>Просчет!M98</f>
        <v>3250</v>
      </c>
      <c r="L33" s="111">
        <f t="shared" si="0"/>
        <v>0</v>
      </c>
    </row>
    <row r="34" spans="2:12" x14ac:dyDescent="0.2">
      <c r="B34" s="93">
        <f>SUBTOTAL(103,$C$21:$C34)</f>
        <v>14</v>
      </c>
      <c r="C34" s="385" t="str">
        <f>Просчет!B99</f>
        <v>Спецефект Перламутр срібло/золото + глянцевий лак з поліруванням 19 мм, гладкий фасад</v>
      </c>
      <c r="D34" s="385"/>
      <c r="E34" s="385"/>
      <c r="F34" s="385"/>
      <c r="G34" s="385"/>
      <c r="H34" s="385"/>
      <c r="I34" s="93" t="str">
        <f>Просчет!J99</f>
        <v>м²</v>
      </c>
      <c r="J34" s="93">
        <f>ROUND(Просчет!K99,3)</f>
        <v>0</v>
      </c>
      <c r="K34" s="110">
        <f>Просчет!M99</f>
        <v>3320</v>
      </c>
      <c r="L34" s="111">
        <f t="shared" si="0"/>
        <v>0</v>
      </c>
    </row>
    <row r="35" spans="2:12" x14ac:dyDescent="0.2">
      <c r="B35" s="93">
        <f>SUBTOTAL(103,$C$21:$C35)</f>
        <v>15</v>
      </c>
      <c r="C35" s="385" t="str">
        <f>Просчет!B100</f>
        <v>Спецефект Перламутр срібло/золото + глянцевий лак з поліруванням 22 мм, гладкий фасад</v>
      </c>
      <c r="D35" s="385"/>
      <c r="E35" s="385"/>
      <c r="F35" s="385"/>
      <c r="G35" s="385"/>
      <c r="H35" s="385"/>
      <c r="I35" s="93" t="str">
        <f>Просчет!J100</f>
        <v>м²</v>
      </c>
      <c r="J35" s="93">
        <f>ROUND(Просчет!K100,3)</f>
        <v>0</v>
      </c>
      <c r="K35" s="110">
        <f>Просчет!M100</f>
        <v>4020</v>
      </c>
      <c r="L35" s="111">
        <f t="shared" si="0"/>
        <v>0</v>
      </c>
    </row>
    <row r="36" spans="2:12" x14ac:dyDescent="0.2">
      <c r="B36" s="93">
        <f>SUBTOTAL(103,$C$21:$C36)</f>
        <v>16</v>
      </c>
      <c r="C36" s="385" t="str">
        <f>Просчет!B101</f>
        <v>Спецефект Перламутр срібло/золото + глянцевий лак з поліруванням, покриття другої сторони, гладкий фасад</v>
      </c>
      <c r="D36" s="385"/>
      <c r="E36" s="385"/>
      <c r="F36" s="385"/>
      <c r="G36" s="385"/>
      <c r="H36" s="385"/>
      <c r="I36" s="93" t="str">
        <f>Просчет!J101</f>
        <v>м²</v>
      </c>
      <c r="J36" s="93">
        <f>ROUND(Просчет!K101,3)</f>
        <v>0</v>
      </c>
      <c r="K36" s="110">
        <f>Просчет!M101</f>
        <v>0</v>
      </c>
      <c r="L36" s="111">
        <f t="shared" si="0"/>
        <v>0</v>
      </c>
    </row>
    <row r="37" spans="2:12" x14ac:dyDescent="0.2">
      <c r="B37" s="93">
        <f>SUBTOTAL(103,$C$21:$C37)</f>
        <v>17</v>
      </c>
      <c r="C37" s="385" t="str">
        <f>Просчет!B102</f>
        <v>Спецефект Гума (антивандальний) до 16 мм, гладкий фасад</v>
      </c>
      <c r="D37" s="385"/>
      <c r="E37" s="385"/>
      <c r="F37" s="385"/>
      <c r="G37" s="385"/>
      <c r="H37" s="385"/>
      <c r="I37" s="93" t="str">
        <f>Просчет!J102</f>
        <v>м²</v>
      </c>
      <c r="J37" s="93">
        <f>ROUND(Просчет!K102,3)</f>
        <v>0</v>
      </c>
      <c r="K37" s="110">
        <f>Просчет!M102</f>
        <v>3110</v>
      </c>
      <c r="L37" s="111">
        <f t="shared" si="0"/>
        <v>0</v>
      </c>
    </row>
    <row r="38" spans="2:12" x14ac:dyDescent="0.2">
      <c r="B38" s="93">
        <f>SUBTOTAL(103,$C$21:$C38)</f>
        <v>18</v>
      </c>
      <c r="C38" s="385" t="str">
        <f>Просчет!B103</f>
        <v>Спецефект Гума (антивандальний) 19 мм, гладкий фасад</v>
      </c>
      <c r="D38" s="385"/>
      <c r="E38" s="385"/>
      <c r="F38" s="385"/>
      <c r="G38" s="385"/>
      <c r="H38" s="385"/>
      <c r="I38" s="93" t="str">
        <f>Просчет!J103</f>
        <v>м²</v>
      </c>
      <c r="J38" s="93">
        <f>ROUND(Просчет!K103,3)</f>
        <v>0</v>
      </c>
      <c r="K38" s="110">
        <f>Просчет!M103</f>
        <v>3180</v>
      </c>
      <c r="L38" s="111">
        <f t="shared" si="0"/>
        <v>0</v>
      </c>
    </row>
    <row r="39" spans="2:12" x14ac:dyDescent="0.2">
      <c r="B39" s="93">
        <f>SUBTOTAL(103,$C$21:$C39)</f>
        <v>19</v>
      </c>
      <c r="C39" s="385" t="str">
        <f>Просчет!B104</f>
        <v>Спецефект Гума (антивандальний) 22 мм, гладкий фасад</v>
      </c>
      <c r="D39" s="385"/>
      <c r="E39" s="385"/>
      <c r="F39" s="385"/>
      <c r="G39" s="385"/>
      <c r="H39" s="385"/>
      <c r="I39" s="93" t="str">
        <f>Просчет!J104</f>
        <v>м²</v>
      </c>
      <c r="J39" s="93">
        <f>ROUND(Просчет!K104,3)</f>
        <v>0</v>
      </c>
      <c r="K39" s="110">
        <f>Просчет!M104</f>
        <v>3880</v>
      </c>
      <c r="L39" s="111">
        <f t="shared" si="0"/>
        <v>0</v>
      </c>
    </row>
    <row r="40" spans="2:12" x14ac:dyDescent="0.2">
      <c r="B40" s="93">
        <f>SUBTOTAL(103,$C$21:$C40)</f>
        <v>20</v>
      </c>
      <c r="C40" s="385" t="str">
        <f>Просчет!B105</f>
        <v>Спецефект Гума (антивандальний), покриття другої сторони, гладкий фасад</v>
      </c>
      <c r="D40" s="385"/>
      <c r="E40" s="385"/>
      <c r="F40" s="385"/>
      <c r="G40" s="385"/>
      <c r="H40" s="385"/>
      <c r="I40" s="93" t="str">
        <f>Просчет!J105</f>
        <v>м²</v>
      </c>
      <c r="J40" s="93">
        <f>ROUND(Просчет!K105,3)</f>
        <v>0</v>
      </c>
      <c r="K40" s="110">
        <f>Просчет!M105</f>
        <v>0</v>
      </c>
      <c r="L40" s="111">
        <f t="shared" si="0"/>
        <v>0</v>
      </c>
    </row>
    <row r="41" spans="2:12" x14ac:dyDescent="0.2">
      <c r="B41" s="93">
        <f>SUBTOTAL(103,$C$21:$C41)</f>
        <v>21</v>
      </c>
      <c r="C41" s="385" t="str">
        <f>Просчет!B106</f>
        <v>Спецефект Автометалік Mobihel + глянцевий лак з поліруванням до 16 мм, гладкий фасад</v>
      </c>
      <c r="D41" s="385"/>
      <c r="E41" s="385"/>
      <c r="F41" s="385"/>
      <c r="G41" s="385"/>
      <c r="H41" s="385"/>
      <c r="I41" s="93" t="str">
        <f>Просчет!J106</f>
        <v>м²</v>
      </c>
      <c r="J41" s="93">
        <f>ROUND(Просчет!K106,3)</f>
        <v>0</v>
      </c>
      <c r="K41" s="110">
        <f>Просчет!M106</f>
        <v>3810</v>
      </c>
      <c r="L41" s="111">
        <f t="shared" si="0"/>
        <v>0</v>
      </c>
    </row>
    <row r="42" spans="2:12" x14ac:dyDescent="0.2">
      <c r="B42" s="169">
        <f>SUBTOTAL(103,$C$21:$C42)</f>
        <v>22</v>
      </c>
      <c r="C42" s="385" t="str">
        <f>Просчет!B107</f>
        <v>Спецефект Автометалік Mobihel + глянцевий лак з поліруванням 19 мм, гладкий фасад</v>
      </c>
      <c r="D42" s="385"/>
      <c r="E42" s="385"/>
      <c r="F42" s="385"/>
      <c r="G42" s="385"/>
      <c r="H42" s="385"/>
      <c r="I42" s="93" t="str">
        <f>Просчет!J107</f>
        <v>м²</v>
      </c>
      <c r="J42" s="93">
        <f>ROUND(Просчет!K107,3)</f>
        <v>0</v>
      </c>
      <c r="K42" s="110">
        <f>Просчет!M107</f>
        <v>3880</v>
      </c>
      <c r="L42" s="111">
        <f t="shared" si="0"/>
        <v>0</v>
      </c>
    </row>
    <row r="43" spans="2:12" x14ac:dyDescent="0.2">
      <c r="B43" s="93">
        <f>SUBTOTAL(103,$C$21:$C43)</f>
        <v>23</v>
      </c>
      <c r="C43" s="385" t="str">
        <f>Просчет!B108</f>
        <v>Спецефект Автометалік Mobihel + глянцевий лак з поліруванням 22 мм, гладкий фасад</v>
      </c>
      <c r="D43" s="385"/>
      <c r="E43" s="385"/>
      <c r="F43" s="385"/>
      <c r="G43" s="385"/>
      <c r="H43" s="385"/>
      <c r="I43" s="93" t="str">
        <f>Просчет!J108</f>
        <v>м²</v>
      </c>
      <c r="J43" s="93">
        <f>ROUND(Просчет!K108,3)</f>
        <v>0</v>
      </c>
      <c r="K43" s="110">
        <f>Просчет!M108</f>
        <v>4580</v>
      </c>
      <c r="L43" s="111">
        <f t="shared" si="0"/>
        <v>0</v>
      </c>
    </row>
    <row r="44" spans="2:12" x14ac:dyDescent="0.2">
      <c r="B44" s="169">
        <f>SUBTOTAL(103,$C$21:$C44)</f>
        <v>24</v>
      </c>
      <c r="C44" s="385" t="str">
        <f>Просчет!B109</f>
        <v>Спецефект Автометалік Mobihel + глянцевий лак з поліруванням, покриття другої сторони, гладкий фасад</v>
      </c>
      <c r="D44" s="385"/>
      <c r="E44" s="385"/>
      <c r="F44" s="385"/>
      <c r="G44" s="385"/>
      <c r="H44" s="385"/>
      <c r="I44" s="93" t="str">
        <f>Просчет!J109</f>
        <v>м²</v>
      </c>
      <c r="J44" s="93">
        <f>ROUND(Просчет!K109,3)</f>
        <v>0</v>
      </c>
      <c r="K44" s="110">
        <f>Просчет!M109</f>
        <v>0</v>
      </c>
      <c r="L44" s="111">
        <f t="shared" si="0"/>
        <v>0</v>
      </c>
    </row>
    <row r="45" spans="2:12" x14ac:dyDescent="0.2">
      <c r="B45" s="93">
        <f>SUBTOTAL(103,$C$21:$C45)</f>
        <v>25</v>
      </c>
      <c r="C45" s="385" t="str">
        <f>Просчет!B110</f>
        <v>Спецефект Рідке скло (антивандальний) до 16 мм, гладкий фасад</v>
      </c>
      <c r="D45" s="385"/>
      <c r="E45" s="385"/>
      <c r="F45" s="385"/>
      <c r="G45" s="385"/>
      <c r="H45" s="385"/>
      <c r="I45" s="93" t="str">
        <f>Просчет!J110</f>
        <v>м²</v>
      </c>
      <c r="J45" s="93">
        <f>ROUND(Просчет!K110,3)</f>
        <v>0</v>
      </c>
      <c r="K45" s="110">
        <f>Просчет!M110</f>
        <v>3390</v>
      </c>
      <c r="L45" s="111">
        <f t="shared" si="0"/>
        <v>0</v>
      </c>
    </row>
    <row r="46" spans="2:12" x14ac:dyDescent="0.2">
      <c r="B46" s="93">
        <f>SUBTOTAL(103,$C$21:$C46)</f>
        <v>26</v>
      </c>
      <c r="C46" s="385" t="str">
        <f>Просчет!B111</f>
        <v>Спецефект Рідке скло (антивандальний) 19 мм, гладкий фасад</v>
      </c>
      <c r="D46" s="385"/>
      <c r="E46" s="385"/>
      <c r="F46" s="385"/>
      <c r="G46" s="385"/>
      <c r="H46" s="385"/>
      <c r="I46" s="93" t="str">
        <f>Просчет!J111</f>
        <v>м²</v>
      </c>
      <c r="J46" s="93">
        <f>ROUND(Просчет!K111,3)</f>
        <v>0</v>
      </c>
      <c r="K46" s="110">
        <f>Просчет!M111</f>
        <v>3460</v>
      </c>
      <c r="L46" s="111">
        <f t="shared" si="0"/>
        <v>0</v>
      </c>
    </row>
    <row r="47" spans="2:12" x14ac:dyDescent="0.2">
      <c r="B47" s="93">
        <f>SUBTOTAL(103,$C$21:$C47)</f>
        <v>27</v>
      </c>
      <c r="C47" s="385" t="str">
        <f>Просчет!B112</f>
        <v>Спецефект Рідке скло (антивандальний) 22мм, гладкий фасад</v>
      </c>
      <c r="D47" s="385"/>
      <c r="E47" s="385"/>
      <c r="F47" s="385"/>
      <c r="G47" s="385"/>
      <c r="H47" s="385"/>
      <c r="I47" s="93" t="str">
        <f>Просчет!J112</f>
        <v>м²</v>
      </c>
      <c r="J47" s="93">
        <f>ROUND(Просчет!K112,3)</f>
        <v>0</v>
      </c>
      <c r="K47" s="110">
        <f>Просчет!M112</f>
        <v>4160</v>
      </c>
      <c r="L47" s="111">
        <f t="shared" si="0"/>
        <v>0</v>
      </c>
    </row>
    <row r="48" spans="2:12" x14ac:dyDescent="0.2">
      <c r="B48" s="93">
        <f>SUBTOTAL(103,$C$21:$C48)</f>
        <v>28</v>
      </c>
      <c r="C48" s="385" t="str">
        <f>Просчет!B113</f>
        <v>Спецефект Рідке скло (антивандальний), покриття другої сторони, гладкий фасад</v>
      </c>
      <c r="D48" s="385"/>
      <c r="E48" s="385"/>
      <c r="F48" s="385"/>
      <c r="G48" s="385"/>
      <c r="H48" s="385"/>
      <c r="I48" s="93" t="str">
        <f>Просчет!J113</f>
        <v>м²</v>
      </c>
      <c r="J48" s="93">
        <f>ROUND(Просчет!K113,3)</f>
        <v>0</v>
      </c>
      <c r="K48" s="110">
        <f>Просчет!M113</f>
        <v>2890</v>
      </c>
      <c r="L48" s="111">
        <f t="shared" si="0"/>
        <v>0</v>
      </c>
    </row>
    <row r="49" spans="2:12" x14ac:dyDescent="0.2">
      <c r="B49" s="169">
        <f>SUBTOTAL(103,$C$21:$C49)</f>
        <v>29</v>
      </c>
      <c r="C49" s="385" t="str">
        <f>Просчет!B114</f>
        <v>Спецефект Перли, Графіт до 16 мм, гладкий фасад</v>
      </c>
      <c r="D49" s="385"/>
      <c r="E49" s="385"/>
      <c r="F49" s="385"/>
      <c r="G49" s="385"/>
      <c r="H49" s="385"/>
      <c r="I49" s="93" t="str">
        <f>Просчет!J114</f>
        <v>м²</v>
      </c>
      <c r="J49" s="93">
        <f>ROUND(Просчет!K114,3)</f>
        <v>0</v>
      </c>
      <c r="K49" s="110">
        <f>Просчет!M114</f>
        <v>3530</v>
      </c>
      <c r="L49" s="111">
        <f t="shared" si="0"/>
        <v>0</v>
      </c>
    </row>
    <row r="50" spans="2:12" x14ac:dyDescent="0.2">
      <c r="B50" s="93">
        <f>SUBTOTAL(103,$C$21:$C50)</f>
        <v>30</v>
      </c>
      <c r="C50" s="385" t="str">
        <f>Просчет!B115</f>
        <v>Спецефект Перли, Графіт 19 мм, гладкий фасад</v>
      </c>
      <c r="D50" s="385"/>
      <c r="E50" s="385"/>
      <c r="F50" s="385"/>
      <c r="G50" s="385"/>
      <c r="H50" s="385"/>
      <c r="I50" s="93" t="str">
        <f>Просчет!J115</f>
        <v>м²</v>
      </c>
      <c r="J50" s="93">
        <f>ROUND(Просчет!K115,3)</f>
        <v>0</v>
      </c>
      <c r="K50" s="110">
        <f>Просчет!M115</f>
        <v>3600</v>
      </c>
      <c r="L50" s="111">
        <f t="shared" si="0"/>
        <v>0</v>
      </c>
    </row>
    <row r="51" spans="2:12" x14ac:dyDescent="0.2">
      <c r="B51" s="93">
        <f>SUBTOTAL(103,$C$21:$C51)</f>
        <v>31</v>
      </c>
      <c r="C51" s="385" t="str">
        <f>Просчет!B116</f>
        <v>Спецефект Перли, Графіт 22 мм, гладкий фасад</v>
      </c>
      <c r="D51" s="385"/>
      <c r="E51" s="385"/>
      <c r="F51" s="385"/>
      <c r="G51" s="385"/>
      <c r="H51" s="385"/>
      <c r="I51" s="93" t="str">
        <f>Просчет!J116</f>
        <v>м²</v>
      </c>
      <c r="J51" s="93">
        <f>ROUND(Просчет!K116,3)</f>
        <v>0</v>
      </c>
      <c r="K51" s="110">
        <f>Просчет!M116</f>
        <v>4300</v>
      </c>
      <c r="L51" s="111">
        <f t="shared" si="0"/>
        <v>0</v>
      </c>
    </row>
    <row r="52" spans="2:12" x14ac:dyDescent="0.2">
      <c r="B52" s="93">
        <f>SUBTOTAL(103,$C$21:$C52)</f>
        <v>32</v>
      </c>
      <c r="C52" s="385" t="str">
        <f>Просчет!B117</f>
        <v>Спецефект Перли, Графіт, покриття другої сторони, гладкий фасад</v>
      </c>
      <c r="D52" s="385"/>
      <c r="E52" s="385"/>
      <c r="F52" s="385"/>
      <c r="G52" s="385"/>
      <c r="H52" s="385"/>
      <c r="I52" s="93" t="str">
        <f>Просчет!J117</f>
        <v>м²</v>
      </c>
      <c r="J52" s="93">
        <f>ROUND(Просчет!K117,3)</f>
        <v>0</v>
      </c>
      <c r="K52" s="110">
        <f>Просчет!M117</f>
        <v>0</v>
      </c>
      <c r="L52" s="111">
        <f t="shared" si="0"/>
        <v>0</v>
      </c>
    </row>
    <row r="53" spans="2:12" x14ac:dyDescent="0.2">
      <c r="B53" s="169">
        <f>SUBTOTAL(103,$C$21:$C53)</f>
        <v>33</v>
      </c>
      <c r="C53" s="385" t="str">
        <f>Просчет!B118</f>
        <v>Спецефект Зоряне небо+ глянцевий лак з поліруванням до 16 мм, гладкий фасад</v>
      </c>
      <c r="D53" s="385"/>
      <c r="E53" s="385"/>
      <c r="F53" s="385"/>
      <c r="G53" s="385"/>
      <c r="H53" s="385"/>
      <c r="I53" s="93" t="str">
        <f>Просчет!J118</f>
        <v>м²</v>
      </c>
      <c r="J53" s="93">
        <f>ROUND(Просчет!K118,3)</f>
        <v>0</v>
      </c>
      <c r="K53" s="110">
        <f>Просчет!M118</f>
        <v>3740</v>
      </c>
      <c r="L53" s="111">
        <f t="shared" si="0"/>
        <v>0</v>
      </c>
    </row>
    <row r="54" spans="2:12" x14ac:dyDescent="0.2">
      <c r="B54" s="93">
        <f>SUBTOTAL(103,$C$21:$C54)</f>
        <v>34</v>
      </c>
      <c r="C54" s="385" t="str">
        <f>Просчет!B119</f>
        <v>Спецефект Зоряне небо+ глянцевий лак з поліруванням 19 мм, гладкий фасад</v>
      </c>
      <c r="D54" s="385"/>
      <c r="E54" s="385"/>
      <c r="F54" s="385"/>
      <c r="G54" s="385"/>
      <c r="H54" s="385"/>
      <c r="I54" s="93" t="str">
        <f>Просчет!J119</f>
        <v>м²</v>
      </c>
      <c r="J54" s="93">
        <f>ROUND(Просчет!K119,3)</f>
        <v>0</v>
      </c>
      <c r="K54" s="110">
        <f>Просчет!M119</f>
        <v>3810</v>
      </c>
      <c r="L54" s="111">
        <f t="shared" si="0"/>
        <v>0</v>
      </c>
    </row>
    <row r="55" spans="2:12" x14ac:dyDescent="0.2">
      <c r="B55" s="93">
        <f>SUBTOTAL(103,$C$21:$C55)</f>
        <v>35</v>
      </c>
      <c r="C55" s="385" t="str">
        <f>Просчет!B120</f>
        <v>Спецефект Зоряне небо+ глянцевий лак з поліруванням 22 мм, гладкий фасад</v>
      </c>
      <c r="D55" s="385"/>
      <c r="E55" s="385"/>
      <c r="F55" s="385"/>
      <c r="G55" s="385"/>
      <c r="H55" s="385"/>
      <c r="I55" s="93" t="str">
        <f>Просчет!J120</f>
        <v>м²</v>
      </c>
      <c r="J55" s="93">
        <f>ROUND(Просчет!K120,3)</f>
        <v>0</v>
      </c>
      <c r="K55" s="110">
        <f>Просчет!M120</f>
        <v>4510</v>
      </c>
      <c r="L55" s="111">
        <f t="shared" si="0"/>
        <v>0</v>
      </c>
    </row>
    <row r="56" spans="2:12" x14ac:dyDescent="0.2">
      <c r="B56" s="93">
        <f>SUBTOTAL(103,$C$21:$C56)</f>
        <v>36</v>
      </c>
      <c r="C56" s="385" t="str">
        <f>Просчет!B121</f>
        <v>Спецефект Зоряне небо+ глянцевий лак з поліруванням, покриття другої сторони, гладкий фасад</v>
      </c>
      <c r="D56" s="385"/>
      <c r="E56" s="385"/>
      <c r="F56" s="385"/>
      <c r="G56" s="385"/>
      <c r="H56" s="385"/>
      <c r="I56" s="93" t="str">
        <f>Просчет!J121</f>
        <v>м²</v>
      </c>
      <c r="J56" s="93">
        <f>ROUND(Просчет!K121,3)</f>
        <v>0</v>
      </c>
      <c r="K56" s="110">
        <f>Просчет!M121</f>
        <v>0</v>
      </c>
      <c r="L56" s="111">
        <f t="shared" si="0"/>
        <v>0</v>
      </c>
    </row>
    <row r="57" spans="2:12" x14ac:dyDescent="0.2">
      <c r="B57" s="93">
        <f>SUBTOTAL(103,$C$21:$C57)</f>
        <v>37</v>
      </c>
      <c r="C57" s="385" t="str">
        <f>Просчет!B122</f>
        <v>Матове покриття до 16 мм, фрез. Фасад кат.1</v>
      </c>
      <c r="D57" s="385"/>
      <c r="E57" s="385"/>
      <c r="F57" s="385"/>
      <c r="G57" s="385"/>
      <c r="H57" s="385"/>
      <c r="I57" s="93" t="str">
        <f>Просчет!J122</f>
        <v>м²</v>
      </c>
      <c r="J57" s="93">
        <f>ROUND(Просчет!K122,3)</f>
        <v>0</v>
      </c>
      <c r="K57" s="110">
        <f>Просчет!M122</f>
        <v>3810</v>
      </c>
      <c r="L57" s="111">
        <f t="shared" si="0"/>
        <v>0</v>
      </c>
    </row>
    <row r="58" spans="2:12" x14ac:dyDescent="0.2">
      <c r="B58" s="93">
        <f>SUBTOTAL(103,$C$21:$C58)</f>
        <v>38</v>
      </c>
      <c r="C58" s="385" t="str">
        <f>Просчет!B123</f>
        <v>Матове покриття до 16 мм, фрез. Фасад кат.2</v>
      </c>
      <c r="D58" s="385"/>
      <c r="E58" s="385"/>
      <c r="F58" s="385"/>
      <c r="G58" s="385"/>
      <c r="H58" s="385"/>
      <c r="I58" s="93" t="str">
        <f>Просчет!J123</f>
        <v>м²</v>
      </c>
      <c r="J58" s="93">
        <f>ROUND(Просчет!K123,3)</f>
        <v>0</v>
      </c>
      <c r="K58" s="110">
        <f>Просчет!M123</f>
        <v>4230</v>
      </c>
      <c r="L58" s="111">
        <f t="shared" si="0"/>
        <v>0</v>
      </c>
    </row>
    <row r="59" spans="2:12" x14ac:dyDescent="0.2">
      <c r="B59" s="93">
        <f>SUBTOTAL(103,$C$21:$C59)</f>
        <v>39</v>
      </c>
      <c r="C59" s="385" t="str">
        <f>Просчет!B124</f>
        <v>Матове покриття 19 мм, фрез. Фасад кат.1</v>
      </c>
      <c r="D59" s="385"/>
      <c r="E59" s="385"/>
      <c r="F59" s="385"/>
      <c r="G59" s="385"/>
      <c r="H59" s="385"/>
      <c r="I59" s="93" t="str">
        <f>Просчет!J124</f>
        <v>м²</v>
      </c>
      <c r="J59" s="93">
        <f>ROUND(Просчет!K124,3)</f>
        <v>0</v>
      </c>
      <c r="K59" s="110">
        <f>Просчет!M124</f>
        <v>3880</v>
      </c>
      <c r="L59" s="111">
        <f t="shared" si="0"/>
        <v>0</v>
      </c>
    </row>
    <row r="60" spans="2:12" x14ac:dyDescent="0.2">
      <c r="B60" s="93">
        <f>SUBTOTAL(103,$C$21:$C60)</f>
        <v>40</v>
      </c>
      <c r="C60" s="385" t="str">
        <f>Просчет!B125</f>
        <v>Матове покриття 19 мм, фрез. Фасад кат.2</v>
      </c>
      <c r="D60" s="385"/>
      <c r="E60" s="385"/>
      <c r="F60" s="385"/>
      <c r="G60" s="385"/>
      <c r="H60" s="385"/>
      <c r="I60" s="93" t="str">
        <f>Просчет!J125</f>
        <v>м²</v>
      </c>
      <c r="J60" s="93">
        <f>ROUND(Просчет!K125,3)</f>
        <v>0</v>
      </c>
      <c r="K60" s="110">
        <f>Просчет!M125</f>
        <v>4300</v>
      </c>
      <c r="L60" s="111">
        <f t="shared" si="0"/>
        <v>0</v>
      </c>
    </row>
    <row r="61" spans="2:12" x14ac:dyDescent="0.2">
      <c r="B61" s="93">
        <f>SUBTOTAL(103,$C$21:$C61)</f>
        <v>41</v>
      </c>
      <c r="C61" s="385" t="str">
        <f>Просчет!B126</f>
        <v>Матове покриття 22 мм, фрез. Фасад кат.1</v>
      </c>
      <c r="D61" s="385"/>
      <c r="E61" s="385"/>
      <c r="F61" s="385"/>
      <c r="G61" s="385"/>
      <c r="H61" s="385"/>
      <c r="I61" s="93" t="str">
        <f>Просчет!J126</f>
        <v>м²</v>
      </c>
      <c r="J61" s="93">
        <f>ROUND(Просчет!K126,3)</f>
        <v>0</v>
      </c>
      <c r="K61" s="110">
        <f>Просчет!M126</f>
        <v>4580</v>
      </c>
      <c r="L61" s="111">
        <f t="shared" si="0"/>
        <v>0</v>
      </c>
    </row>
    <row r="62" spans="2:12" x14ac:dyDescent="0.2">
      <c r="B62" s="93">
        <f>SUBTOTAL(103,$C$21:$C62)</f>
        <v>42</v>
      </c>
      <c r="C62" s="385" t="str">
        <f>Просчет!B127</f>
        <v>Матове покриття 22 мм, фрез. Фасад кат.2</v>
      </c>
      <c r="D62" s="385"/>
      <c r="E62" s="385"/>
      <c r="F62" s="385"/>
      <c r="G62" s="385"/>
      <c r="H62" s="385"/>
      <c r="I62" s="93" t="str">
        <f>Просчет!J127</f>
        <v>м²</v>
      </c>
      <c r="J62" s="93">
        <f>ROUND(Просчет!K127,3)</f>
        <v>0</v>
      </c>
      <c r="K62" s="110">
        <f>Просчет!M127</f>
        <v>5000</v>
      </c>
      <c r="L62" s="111">
        <f t="shared" si="0"/>
        <v>0</v>
      </c>
    </row>
    <row r="63" spans="2:12" x14ac:dyDescent="0.2">
      <c r="B63" s="93">
        <f>SUBTOTAL(103,$C$21:$C63)</f>
        <v>43</v>
      </c>
      <c r="C63" s="385" t="str">
        <f>Просчет!B128</f>
        <v>Матове покриття другої сторони, фрез. Фасад кат.1</v>
      </c>
      <c r="D63" s="385"/>
      <c r="E63" s="385"/>
      <c r="F63" s="385"/>
      <c r="G63" s="385"/>
      <c r="H63" s="385"/>
      <c r="I63" s="93" t="str">
        <f>Просчет!J128</f>
        <v>м²</v>
      </c>
      <c r="J63" s="93">
        <f>ROUND(Просчет!K128,3)</f>
        <v>0</v>
      </c>
      <c r="K63" s="110">
        <f>Просчет!M128</f>
        <v>1905</v>
      </c>
      <c r="L63" s="111">
        <f t="shared" si="0"/>
        <v>0</v>
      </c>
    </row>
    <row r="64" spans="2:12" x14ac:dyDescent="0.2">
      <c r="B64" s="93">
        <f>SUBTOTAL(103,$C$21:$C64)</f>
        <v>44</v>
      </c>
      <c r="C64" s="385" t="str">
        <f>Просчет!B129</f>
        <v>Матове покриття другої сторони, фрез. Фасад кат.2</v>
      </c>
      <c r="D64" s="385"/>
      <c r="E64" s="385"/>
      <c r="F64" s="385"/>
      <c r="G64" s="385"/>
      <c r="H64" s="385"/>
      <c r="I64" s="93" t="str">
        <f>Просчет!J129</f>
        <v>м²</v>
      </c>
      <c r="J64" s="93">
        <f>ROUND(Просчет!K129,3)</f>
        <v>0</v>
      </c>
      <c r="K64" s="110">
        <f>Просчет!M129</f>
        <v>2115</v>
      </c>
      <c r="L64" s="111">
        <f t="shared" si="0"/>
        <v>0</v>
      </c>
    </row>
    <row r="65" spans="2:12" x14ac:dyDescent="0.2">
      <c r="B65" s="93">
        <f>SUBTOTAL(103,$C$21:$C65)</f>
        <v>45</v>
      </c>
      <c r="C65" s="385" t="str">
        <f>Просчет!B130</f>
        <v>Софт покриття до 16 мм, фрез. Фасад кат.1</v>
      </c>
      <c r="D65" s="385"/>
      <c r="E65" s="385"/>
      <c r="F65" s="385"/>
      <c r="G65" s="385"/>
      <c r="H65" s="385"/>
      <c r="I65" s="93" t="str">
        <f>Просчет!J130</f>
        <v>м²</v>
      </c>
      <c r="J65" s="93">
        <f>ROUND(Просчет!K130,3)</f>
        <v>0</v>
      </c>
      <c r="K65" s="110">
        <f>Просчет!M130</f>
        <v>3860</v>
      </c>
      <c r="L65" s="111">
        <f t="shared" si="0"/>
        <v>0</v>
      </c>
    </row>
    <row r="66" spans="2:12" x14ac:dyDescent="0.2">
      <c r="B66" s="93">
        <f>SUBTOTAL(103,$C$21:$C66)</f>
        <v>46</v>
      </c>
      <c r="C66" s="385" t="str">
        <f>Просчет!B131</f>
        <v>Софт покриття до 16 мм, фрез. Фасад кат.2</v>
      </c>
      <c r="D66" s="385"/>
      <c r="E66" s="385"/>
      <c r="F66" s="385"/>
      <c r="G66" s="385"/>
      <c r="H66" s="385"/>
      <c r="I66" s="93" t="str">
        <f>Просчет!J131</f>
        <v>м²</v>
      </c>
      <c r="J66" s="93">
        <f>ROUND(Просчет!K131,3)</f>
        <v>0</v>
      </c>
      <c r="K66" s="110">
        <f>Просчет!M131</f>
        <v>4280</v>
      </c>
      <c r="L66" s="111">
        <f t="shared" si="0"/>
        <v>0</v>
      </c>
    </row>
    <row r="67" spans="2:12" x14ac:dyDescent="0.2">
      <c r="B67" s="93">
        <f>SUBTOTAL(103,$C$21:$C67)</f>
        <v>47</v>
      </c>
      <c r="C67" s="385" t="str">
        <f>Просчет!B132</f>
        <v>Софт покриття 19 мм, фрез. Фасад кат.1</v>
      </c>
      <c r="D67" s="385"/>
      <c r="E67" s="385"/>
      <c r="F67" s="385"/>
      <c r="G67" s="385"/>
      <c r="H67" s="385"/>
      <c r="I67" s="93" t="str">
        <f>Просчет!J132</f>
        <v>м²</v>
      </c>
      <c r="J67" s="93">
        <f>ROUND(Просчет!K132,3)</f>
        <v>0</v>
      </c>
      <c r="K67" s="110">
        <f>Просчет!M132</f>
        <v>3930</v>
      </c>
      <c r="L67" s="111">
        <f t="shared" si="0"/>
        <v>0</v>
      </c>
    </row>
    <row r="68" spans="2:12" x14ac:dyDescent="0.2">
      <c r="B68" s="93">
        <f>SUBTOTAL(103,$C$21:$C68)</f>
        <v>48</v>
      </c>
      <c r="C68" s="385" t="str">
        <f>Просчет!B133</f>
        <v>Софт покриття 19 мм, фрез. Фасад кат.2</v>
      </c>
      <c r="D68" s="385"/>
      <c r="E68" s="385"/>
      <c r="F68" s="385"/>
      <c r="G68" s="385"/>
      <c r="H68" s="385"/>
      <c r="I68" s="93" t="str">
        <f>Просчет!J133</f>
        <v>м²</v>
      </c>
      <c r="J68" s="93">
        <f>ROUND(Просчет!K133,3)</f>
        <v>0</v>
      </c>
      <c r="K68" s="110">
        <f>Просчет!M133</f>
        <v>4350</v>
      </c>
      <c r="L68" s="111">
        <f t="shared" si="0"/>
        <v>0</v>
      </c>
    </row>
    <row r="69" spans="2:12" x14ac:dyDescent="0.2">
      <c r="B69" s="169">
        <f>SUBTOTAL(103,$C$21:$C69)</f>
        <v>49</v>
      </c>
      <c r="C69" s="385" t="str">
        <f>Просчет!B134</f>
        <v>Софт покриття 22 мм, фрез. Фасад кат.1</v>
      </c>
      <c r="D69" s="385"/>
      <c r="E69" s="385"/>
      <c r="F69" s="385"/>
      <c r="G69" s="385"/>
      <c r="H69" s="385"/>
      <c r="I69" s="93" t="str">
        <f>Просчет!J134</f>
        <v>м²</v>
      </c>
      <c r="J69" s="93">
        <f>ROUND(Просчет!K134,3)</f>
        <v>0</v>
      </c>
      <c r="K69" s="110">
        <f>Просчет!M134</f>
        <v>4630</v>
      </c>
      <c r="L69" s="111">
        <f t="shared" si="0"/>
        <v>0</v>
      </c>
    </row>
    <row r="70" spans="2:12" x14ac:dyDescent="0.2">
      <c r="B70" s="93">
        <f>SUBTOTAL(103,$C$21:$C70)</f>
        <v>50</v>
      </c>
      <c r="C70" s="385" t="str">
        <f>Просчет!B135</f>
        <v>Софт покриття 22 мм, фрез. Фасад кат.2</v>
      </c>
      <c r="D70" s="385"/>
      <c r="E70" s="385"/>
      <c r="F70" s="385"/>
      <c r="G70" s="385"/>
      <c r="H70" s="385"/>
      <c r="I70" s="93" t="str">
        <f>Просчет!J135</f>
        <v>м²</v>
      </c>
      <c r="J70" s="93">
        <f>ROUND(Просчет!K135,3)</f>
        <v>0</v>
      </c>
      <c r="K70" s="110">
        <f>Просчет!M135</f>
        <v>5050</v>
      </c>
      <c r="L70" s="111">
        <f t="shared" si="0"/>
        <v>0</v>
      </c>
    </row>
    <row r="71" spans="2:12" x14ac:dyDescent="0.2">
      <c r="B71" s="93">
        <f>SUBTOTAL(103,$C$21:$C71)</f>
        <v>51</v>
      </c>
      <c r="C71" s="385" t="str">
        <f>Просчет!B136</f>
        <v>Софт покриття другої сторони, фрез. Фасад кат.1</v>
      </c>
      <c r="D71" s="385"/>
      <c r="E71" s="385"/>
      <c r="F71" s="385"/>
      <c r="G71" s="385"/>
      <c r="H71" s="385"/>
      <c r="I71" s="93" t="str">
        <f>Просчет!J136</f>
        <v>м²</v>
      </c>
      <c r="J71" s="93">
        <f>ROUND(Просчет!K136,3)</f>
        <v>0</v>
      </c>
      <c r="K71" s="110">
        <f>Просчет!M136</f>
        <v>1930</v>
      </c>
      <c r="L71" s="111">
        <f t="shared" si="0"/>
        <v>0</v>
      </c>
    </row>
    <row r="72" spans="2:12" x14ac:dyDescent="0.2">
      <c r="B72" s="93">
        <f>SUBTOTAL(103,$C$21:$C72)</f>
        <v>52</v>
      </c>
      <c r="C72" s="385" t="str">
        <f>Просчет!B137</f>
        <v>Софт покриття другої сторони, фрез. Фасад кат.2</v>
      </c>
      <c r="D72" s="385"/>
      <c r="E72" s="385"/>
      <c r="F72" s="385"/>
      <c r="G72" s="385"/>
      <c r="H72" s="385"/>
      <c r="I72" s="93" t="str">
        <f>Просчет!J137</f>
        <v>м²</v>
      </c>
      <c r="J72" s="93">
        <f>ROUND(Просчет!K137,3)</f>
        <v>0</v>
      </c>
      <c r="K72" s="110">
        <f>Просчет!M137</f>
        <v>2140</v>
      </c>
      <c r="L72" s="111">
        <f t="shared" si="0"/>
        <v>0</v>
      </c>
    </row>
    <row r="73" spans="2:12" x14ac:dyDescent="0.2">
      <c r="B73" s="93">
        <f>SUBTOTAL(103,$C$21:$C73)</f>
        <v>53</v>
      </c>
      <c r="C73" s="385" t="str">
        <f>Просчет!B138</f>
        <v>Глянцеве покриття з поліруванням до 16 мм, фрез. Фасад кат.1</v>
      </c>
      <c r="D73" s="385"/>
      <c r="E73" s="385"/>
      <c r="F73" s="385"/>
      <c r="G73" s="385"/>
      <c r="H73" s="385"/>
      <c r="I73" s="93" t="str">
        <f>Просчет!J138</f>
        <v>м²</v>
      </c>
      <c r="J73" s="93">
        <f>ROUND(Просчет!K138,3)</f>
        <v>0</v>
      </c>
      <c r="K73" s="110">
        <f>Просчет!M138</f>
        <v>4370</v>
      </c>
      <c r="L73" s="111">
        <f t="shared" si="0"/>
        <v>0</v>
      </c>
    </row>
    <row r="74" spans="2:12" x14ac:dyDescent="0.2">
      <c r="B74" s="93">
        <f>SUBTOTAL(103,$C$21:$C74)</f>
        <v>54</v>
      </c>
      <c r="C74" s="385" t="str">
        <f>Просчет!B139</f>
        <v>Глянцеве покриття з поліруванням до 16 мм, фрез. Фасад кат.2</v>
      </c>
      <c r="D74" s="385"/>
      <c r="E74" s="385"/>
      <c r="F74" s="385"/>
      <c r="G74" s="385"/>
      <c r="H74" s="385"/>
      <c r="I74" s="93" t="str">
        <f>Просчет!J139</f>
        <v>м²</v>
      </c>
      <c r="J74" s="93">
        <f>ROUND(Просчет!K139,3)</f>
        <v>0</v>
      </c>
      <c r="K74" s="110">
        <f>Просчет!M139</f>
        <v>4790</v>
      </c>
      <c r="L74" s="111">
        <f t="shared" si="0"/>
        <v>0</v>
      </c>
    </row>
    <row r="75" spans="2:12" x14ac:dyDescent="0.2">
      <c r="B75" s="93">
        <f>SUBTOTAL(103,$C$21:$C75)</f>
        <v>55</v>
      </c>
      <c r="C75" s="385" t="str">
        <f>Просчет!B140</f>
        <v>Глянцеве покриття з поліруванням 19 мм, фрез. Фасад кат.1</v>
      </c>
      <c r="D75" s="385"/>
      <c r="E75" s="385"/>
      <c r="F75" s="385"/>
      <c r="G75" s="385"/>
      <c r="H75" s="385"/>
      <c r="I75" s="93" t="str">
        <f>Просчет!J140</f>
        <v>м²</v>
      </c>
      <c r="J75" s="93">
        <f>ROUND(Просчет!K140,3)</f>
        <v>0</v>
      </c>
      <c r="K75" s="110">
        <f>Просчет!M140</f>
        <v>4440</v>
      </c>
      <c r="L75" s="111">
        <f t="shared" si="0"/>
        <v>0</v>
      </c>
    </row>
    <row r="76" spans="2:12" x14ac:dyDescent="0.2">
      <c r="B76" s="93">
        <f>SUBTOTAL(103,$C$21:$C76)</f>
        <v>56</v>
      </c>
      <c r="C76" s="385" t="str">
        <f>Просчет!B141</f>
        <v>Глянцеве покриття з поліруванням 19 мм, фрез. Фасад кат.2</v>
      </c>
      <c r="D76" s="385"/>
      <c r="E76" s="385"/>
      <c r="F76" s="385"/>
      <c r="G76" s="385"/>
      <c r="H76" s="385"/>
      <c r="I76" s="93" t="str">
        <f>Просчет!J141</f>
        <v>м²</v>
      </c>
      <c r="J76" s="93">
        <f>ROUND(Просчет!K141,3)</f>
        <v>0</v>
      </c>
      <c r="K76" s="110">
        <f>Просчет!M141</f>
        <v>4860</v>
      </c>
      <c r="L76" s="111">
        <f t="shared" si="0"/>
        <v>0</v>
      </c>
    </row>
    <row r="77" spans="2:12" x14ac:dyDescent="0.2">
      <c r="B77" s="93">
        <f>SUBTOTAL(103,$C$21:$C77)</f>
        <v>57</v>
      </c>
      <c r="C77" s="385" t="str">
        <f>Просчет!B142</f>
        <v>Глянцеве покриття з поліруванням 22 мм, фрез. Фасад кат.1</v>
      </c>
      <c r="D77" s="385"/>
      <c r="E77" s="385"/>
      <c r="F77" s="385"/>
      <c r="G77" s="385"/>
      <c r="H77" s="385"/>
      <c r="I77" s="93" t="str">
        <f>Просчет!J142</f>
        <v>м²</v>
      </c>
      <c r="J77" s="93">
        <f>ROUND(Просчет!K142,3)</f>
        <v>0</v>
      </c>
      <c r="K77" s="110">
        <f>Просчет!M142</f>
        <v>5140</v>
      </c>
      <c r="L77" s="111">
        <f t="shared" si="0"/>
        <v>0</v>
      </c>
    </row>
    <row r="78" spans="2:12" x14ac:dyDescent="0.2">
      <c r="B78" s="93">
        <f>SUBTOTAL(103,$C$21:$C78)</f>
        <v>58</v>
      </c>
      <c r="C78" s="385" t="str">
        <f>Просчет!B143</f>
        <v>Глянцеве покриття з поліруванням 22 мм, фрез. Фасад кат.2</v>
      </c>
      <c r="D78" s="385"/>
      <c r="E78" s="385"/>
      <c r="F78" s="385"/>
      <c r="G78" s="385"/>
      <c r="H78" s="385"/>
      <c r="I78" s="93" t="str">
        <f>Просчет!J143</f>
        <v>м²</v>
      </c>
      <c r="J78" s="93">
        <f>ROUND(Просчет!K143,3)</f>
        <v>0</v>
      </c>
      <c r="K78" s="110">
        <f>Просчет!M143</f>
        <v>5560</v>
      </c>
      <c r="L78" s="111">
        <f t="shared" si="0"/>
        <v>0</v>
      </c>
    </row>
    <row r="79" spans="2:12" x14ac:dyDescent="0.2">
      <c r="B79" s="93">
        <f>SUBTOTAL(103,$C$21:$C79)</f>
        <v>59</v>
      </c>
      <c r="C79" s="385" t="str">
        <f>Просчет!B144</f>
        <v>Глянцеве покриття другої сторони, фрез. Фасад кат.1</v>
      </c>
      <c r="D79" s="385"/>
      <c r="E79" s="385"/>
      <c r="F79" s="385"/>
      <c r="G79" s="385"/>
      <c r="H79" s="385"/>
      <c r="I79" s="93" t="str">
        <f>Просчет!J144</f>
        <v>м²</v>
      </c>
      <c r="J79" s="93">
        <f>ROUND(Просчет!K144,3)</f>
        <v>0</v>
      </c>
      <c r="K79" s="110">
        <f>Просчет!M144</f>
        <v>2185</v>
      </c>
      <c r="L79" s="111">
        <f t="shared" si="0"/>
        <v>0</v>
      </c>
    </row>
    <row r="80" spans="2:12" x14ac:dyDescent="0.2">
      <c r="B80" s="93">
        <f>SUBTOTAL(103,$C$21:$C80)</f>
        <v>60</v>
      </c>
      <c r="C80" s="385" t="str">
        <f>Просчет!B145</f>
        <v>Глянцеве покриття другої сторони, фрез. Фасад кат.2</v>
      </c>
      <c r="D80" s="385"/>
      <c r="E80" s="385"/>
      <c r="F80" s="385"/>
      <c r="G80" s="385"/>
      <c r="H80" s="385"/>
      <c r="I80" s="93" t="str">
        <f>Просчет!J145</f>
        <v>м²</v>
      </c>
      <c r="J80" s="93">
        <f>ROUND(Просчет!K145,3)</f>
        <v>0</v>
      </c>
      <c r="K80" s="110">
        <f>Просчет!M145</f>
        <v>2395</v>
      </c>
      <c r="L80" s="111">
        <f t="shared" si="0"/>
        <v>0</v>
      </c>
    </row>
    <row r="81" spans="2:12" x14ac:dyDescent="0.2">
      <c r="B81" s="93">
        <f>SUBTOTAL(103,$C$21:$C81)</f>
        <v>61</v>
      </c>
      <c r="C81" s="385" t="str">
        <f>Просчет!B146</f>
        <v>Спецефект Перламутр срібло/золото до 16 мм, фрез. фасад кат.1</v>
      </c>
      <c r="D81" s="385"/>
      <c r="E81" s="385"/>
      <c r="F81" s="385"/>
      <c r="G81" s="385"/>
      <c r="H81" s="385"/>
      <c r="I81" s="93" t="str">
        <f>Просчет!J146</f>
        <v>м²</v>
      </c>
      <c r="J81" s="93">
        <f>ROUND(Просчет!K146,3)</f>
        <v>0</v>
      </c>
      <c r="K81" s="110">
        <f>Просчет!M146</f>
        <v>4510</v>
      </c>
      <c r="L81" s="111">
        <f t="shared" si="0"/>
        <v>0</v>
      </c>
    </row>
    <row r="82" spans="2:12" x14ac:dyDescent="0.2">
      <c r="B82" s="93">
        <f>SUBTOTAL(103,$C$21:$C82)</f>
        <v>62</v>
      </c>
      <c r="C82" s="385" t="str">
        <f>Просчет!B147</f>
        <v>Спецефект Перламутр срібло/золото до 16 мм, фрез. фасад кат.2</v>
      </c>
      <c r="D82" s="385"/>
      <c r="E82" s="385"/>
      <c r="F82" s="385"/>
      <c r="G82" s="385"/>
      <c r="H82" s="385"/>
      <c r="I82" s="93" t="str">
        <f>Просчет!J147</f>
        <v>м²</v>
      </c>
      <c r="J82" s="93">
        <f>ROUND(Просчет!K147,3)</f>
        <v>0</v>
      </c>
      <c r="K82" s="110">
        <f>Просчет!M147</f>
        <v>4930</v>
      </c>
      <c r="L82" s="111">
        <f t="shared" si="0"/>
        <v>0</v>
      </c>
    </row>
    <row r="83" spans="2:12" x14ac:dyDescent="0.2">
      <c r="B83" s="93">
        <f>SUBTOTAL(103,$C$21:$C83)</f>
        <v>63</v>
      </c>
      <c r="C83" s="385" t="str">
        <f>Просчет!B148</f>
        <v>Спецефект Перламутр срібло/золото 19 мм, фрез. фасад кат.1</v>
      </c>
      <c r="D83" s="385"/>
      <c r="E83" s="385"/>
      <c r="F83" s="385"/>
      <c r="G83" s="385"/>
      <c r="H83" s="385"/>
      <c r="I83" s="93" t="str">
        <f>Просчет!J148</f>
        <v>м²</v>
      </c>
      <c r="J83" s="93">
        <f>ROUND(Просчет!K148,3)</f>
        <v>0</v>
      </c>
      <c r="K83" s="110">
        <f>Просчет!M148</f>
        <v>4580</v>
      </c>
      <c r="L83" s="111">
        <f t="shared" si="0"/>
        <v>0</v>
      </c>
    </row>
    <row r="84" spans="2:12" x14ac:dyDescent="0.2">
      <c r="B84" s="93">
        <f>SUBTOTAL(103,$C$21:$C84)</f>
        <v>64</v>
      </c>
      <c r="C84" s="385" t="str">
        <f>Просчет!B149</f>
        <v>Спецефект Перламутр срібло/золото 19 мм, фрез. фасад кат.2</v>
      </c>
      <c r="D84" s="385"/>
      <c r="E84" s="385"/>
      <c r="F84" s="385"/>
      <c r="G84" s="385"/>
      <c r="H84" s="385"/>
      <c r="I84" s="93" t="str">
        <f>Просчет!J149</f>
        <v>м²</v>
      </c>
      <c r="J84" s="93">
        <f>ROUND(Просчет!K149,3)</f>
        <v>0</v>
      </c>
      <c r="K84" s="110">
        <f>Просчет!M149</f>
        <v>5000</v>
      </c>
      <c r="L84" s="111">
        <f t="shared" si="0"/>
        <v>0</v>
      </c>
    </row>
    <row r="85" spans="2:12" x14ac:dyDescent="0.2">
      <c r="B85" s="93">
        <f>SUBTOTAL(103,$C$21:$C85)</f>
        <v>65</v>
      </c>
      <c r="C85" s="385" t="str">
        <f>Просчет!B150</f>
        <v>Спецефект Перламутр срібло/золото 22 мм, фрез. фасад кат.1</v>
      </c>
      <c r="D85" s="385"/>
      <c r="E85" s="385"/>
      <c r="F85" s="385"/>
      <c r="G85" s="385"/>
      <c r="H85" s="385"/>
      <c r="I85" s="93" t="str">
        <f>Просчет!J150</f>
        <v>м²</v>
      </c>
      <c r="J85" s="93">
        <f>ROUND(Просчет!K150,3)</f>
        <v>0</v>
      </c>
      <c r="K85" s="110">
        <f>Просчет!M150</f>
        <v>5280</v>
      </c>
      <c r="L85" s="111">
        <f t="shared" si="0"/>
        <v>0</v>
      </c>
    </row>
    <row r="86" spans="2:12" x14ac:dyDescent="0.2">
      <c r="B86" s="93">
        <f>SUBTOTAL(103,$C$21:$C86)</f>
        <v>66</v>
      </c>
      <c r="C86" s="385" t="str">
        <f>Просчет!B151</f>
        <v>Спецефект Перламутр срібло/золото 22 мм, фрез. фасад кат.2</v>
      </c>
      <c r="D86" s="385"/>
      <c r="E86" s="385"/>
      <c r="F86" s="385"/>
      <c r="G86" s="385"/>
      <c r="H86" s="385"/>
      <c r="I86" s="93" t="str">
        <f>Просчет!J151</f>
        <v>м²</v>
      </c>
      <c r="J86" s="93">
        <f>ROUND(Просчет!K151,3)</f>
        <v>0</v>
      </c>
      <c r="K86" s="110">
        <f>Просчет!M151</f>
        <v>5700</v>
      </c>
      <c r="L86" s="111">
        <f t="shared" ref="L86:L149" si="1">J86*K86</f>
        <v>0</v>
      </c>
    </row>
    <row r="87" spans="2:12" x14ac:dyDescent="0.2">
      <c r="B87" s="93">
        <f>SUBTOTAL(103,$C$21:$C87)</f>
        <v>67</v>
      </c>
      <c r="C87" s="385" t="str">
        <f>Просчет!B152</f>
        <v>Спецефект Перламутр срібло/золото покриття другої сторони, фрез. фасад кат.1</v>
      </c>
      <c r="D87" s="385"/>
      <c r="E87" s="385"/>
      <c r="F87" s="385"/>
      <c r="G87" s="385"/>
      <c r="H87" s="385"/>
      <c r="I87" s="93" t="str">
        <f>Просчет!J152</f>
        <v>м²</v>
      </c>
      <c r="J87" s="93">
        <f>ROUND(Просчет!K152,3)</f>
        <v>0</v>
      </c>
      <c r="K87" s="110">
        <f>Просчет!M152</f>
        <v>0</v>
      </c>
      <c r="L87" s="111">
        <f t="shared" si="1"/>
        <v>0</v>
      </c>
    </row>
    <row r="88" spans="2:12" x14ac:dyDescent="0.2">
      <c r="B88" s="93">
        <f>SUBTOTAL(103,$C$21:$C88)</f>
        <v>68</v>
      </c>
      <c r="C88" s="385" t="str">
        <f>Просчет!B153</f>
        <v>Спецефект Перламутр срібло/золото покриття другої сторони, фрез. фасад кат.2</v>
      </c>
      <c r="D88" s="385"/>
      <c r="E88" s="385"/>
      <c r="F88" s="385"/>
      <c r="G88" s="385"/>
      <c r="H88" s="385"/>
      <c r="I88" s="93" t="str">
        <f>Просчет!J153</f>
        <v>м²</v>
      </c>
      <c r="J88" s="93">
        <f>ROUND(Просчет!K153,3)</f>
        <v>0</v>
      </c>
      <c r="K88" s="110">
        <f>Просчет!M153</f>
        <v>0</v>
      </c>
      <c r="L88" s="111">
        <f t="shared" si="1"/>
        <v>0</v>
      </c>
    </row>
    <row r="89" spans="2:12" x14ac:dyDescent="0.2">
      <c r="B89" s="93">
        <f>SUBTOTAL(103,$C$21:$C89)</f>
        <v>69</v>
      </c>
      <c r="C89" s="385" t="str">
        <f>Просчет!B154</f>
        <v>Спецефект Гума (антивандальний) до 16 мм, фрез. фасад кат.1</v>
      </c>
      <c r="D89" s="385"/>
      <c r="E89" s="385"/>
      <c r="F89" s="385"/>
      <c r="G89" s="385"/>
      <c r="H89" s="385"/>
      <c r="I89" s="93" t="str">
        <f>Просчет!J154</f>
        <v>м²</v>
      </c>
      <c r="J89" s="93">
        <f>ROUND(Просчет!K154,3)</f>
        <v>0</v>
      </c>
      <c r="K89" s="110">
        <f>Просчет!M154</f>
        <v>4510</v>
      </c>
      <c r="L89" s="111">
        <f t="shared" si="1"/>
        <v>0</v>
      </c>
    </row>
    <row r="90" spans="2:12" x14ac:dyDescent="0.2">
      <c r="B90" s="93">
        <f>SUBTOTAL(103,$C$21:$C90)</f>
        <v>70</v>
      </c>
      <c r="C90" s="385" t="str">
        <f>Просчет!B155</f>
        <v>Спецефект Гума (антивандальний) до 16 мм, фрез. фасад кат.2</v>
      </c>
      <c r="D90" s="385"/>
      <c r="E90" s="385"/>
      <c r="F90" s="385"/>
      <c r="G90" s="385"/>
      <c r="H90" s="385"/>
      <c r="I90" s="93" t="str">
        <f>Просчет!J155</f>
        <v>м²</v>
      </c>
      <c r="J90" s="93">
        <f>ROUND(Просчет!K155,3)</f>
        <v>0</v>
      </c>
      <c r="K90" s="110">
        <f>Просчет!M155</f>
        <v>4930</v>
      </c>
      <c r="L90" s="111">
        <f t="shared" si="1"/>
        <v>0</v>
      </c>
    </row>
    <row r="91" spans="2:12" x14ac:dyDescent="0.2">
      <c r="B91" s="93">
        <f>SUBTOTAL(103,$C$21:$C91)</f>
        <v>71</v>
      </c>
      <c r="C91" s="385" t="str">
        <f>Просчет!B156</f>
        <v>Спецефект Гума (антивандальний) 19 мм, фрез. фасад кат.1</v>
      </c>
      <c r="D91" s="385"/>
      <c r="E91" s="385"/>
      <c r="F91" s="385"/>
      <c r="G91" s="385"/>
      <c r="H91" s="385"/>
      <c r="I91" s="93" t="str">
        <f>Просчет!J156</f>
        <v>м²</v>
      </c>
      <c r="J91" s="93">
        <f>ROUND(Просчет!K156,3)</f>
        <v>0</v>
      </c>
      <c r="K91" s="110">
        <f>Просчет!M156</f>
        <v>4580</v>
      </c>
      <c r="L91" s="111">
        <f t="shared" si="1"/>
        <v>0</v>
      </c>
    </row>
    <row r="92" spans="2:12" x14ac:dyDescent="0.2">
      <c r="B92" s="93">
        <f>SUBTOTAL(103,$C$21:$C92)</f>
        <v>72</v>
      </c>
      <c r="C92" s="385" t="str">
        <f>Просчет!B157</f>
        <v>Спецефект Гума (антивандальний) 19 мм, фрез. фасад кат.2</v>
      </c>
      <c r="D92" s="385"/>
      <c r="E92" s="385"/>
      <c r="F92" s="385"/>
      <c r="G92" s="385"/>
      <c r="H92" s="385"/>
      <c r="I92" s="93" t="str">
        <f>Просчет!J157</f>
        <v>м²</v>
      </c>
      <c r="J92" s="93">
        <f>ROUND(Просчет!K157,3)</f>
        <v>0</v>
      </c>
      <c r="K92" s="110">
        <f>Просчет!M157</f>
        <v>5000</v>
      </c>
      <c r="L92" s="111">
        <f t="shared" si="1"/>
        <v>0</v>
      </c>
    </row>
    <row r="93" spans="2:12" x14ac:dyDescent="0.2">
      <c r="B93" s="93">
        <f>SUBTOTAL(103,$C$21:$C93)</f>
        <v>73</v>
      </c>
      <c r="C93" s="385" t="str">
        <f>Просчет!B158</f>
        <v>Спецефект Гума (антивандальний) 22 мм, фрез. фасад кат.1</v>
      </c>
      <c r="D93" s="385"/>
      <c r="E93" s="385"/>
      <c r="F93" s="385"/>
      <c r="G93" s="385"/>
      <c r="H93" s="385"/>
      <c r="I93" s="93" t="str">
        <f>Просчет!J158</f>
        <v>м²</v>
      </c>
      <c r="J93" s="93">
        <f>ROUND(Просчет!K158,3)</f>
        <v>0</v>
      </c>
      <c r="K93" s="110">
        <f>Просчет!M158</f>
        <v>5280</v>
      </c>
      <c r="L93" s="111">
        <f t="shared" si="1"/>
        <v>0</v>
      </c>
    </row>
    <row r="94" spans="2:12" x14ac:dyDescent="0.2">
      <c r="B94" s="93">
        <f>SUBTOTAL(103,$C$21:$C94)</f>
        <v>74</v>
      </c>
      <c r="C94" s="385" t="str">
        <f>Просчет!B159</f>
        <v>Спецефект Гума (антивандальний) 22 мм, фрез. фасад кат.2</v>
      </c>
      <c r="D94" s="385"/>
      <c r="E94" s="385"/>
      <c r="F94" s="385"/>
      <c r="G94" s="385"/>
      <c r="H94" s="385"/>
      <c r="I94" s="93" t="str">
        <f>Просчет!J159</f>
        <v>м²</v>
      </c>
      <c r="J94" s="93">
        <f>ROUND(Просчет!K159,3)</f>
        <v>0</v>
      </c>
      <c r="K94" s="110">
        <f>Просчет!M159</f>
        <v>5700</v>
      </c>
      <c r="L94" s="111">
        <f t="shared" si="1"/>
        <v>0</v>
      </c>
    </row>
    <row r="95" spans="2:12" x14ac:dyDescent="0.2">
      <c r="B95" s="93">
        <f>SUBTOTAL(103,$C$21:$C95)</f>
        <v>75</v>
      </c>
      <c r="C95" s="385" t="str">
        <f>Просчет!B160</f>
        <v>Спецефект Гума (антивандальний) покриття другої сторони, фрез. фасад кат.1</v>
      </c>
      <c r="D95" s="385"/>
      <c r="E95" s="385"/>
      <c r="F95" s="385"/>
      <c r="G95" s="385"/>
      <c r="H95" s="385"/>
      <c r="I95" s="93" t="str">
        <f>Просчет!J160</f>
        <v>м²</v>
      </c>
      <c r="J95" s="93">
        <f>ROUND(Просчет!K160,3)</f>
        <v>0</v>
      </c>
      <c r="K95" s="110">
        <f>Просчет!M160</f>
        <v>0</v>
      </c>
      <c r="L95" s="111">
        <f t="shared" si="1"/>
        <v>0</v>
      </c>
    </row>
    <row r="96" spans="2:12" x14ac:dyDescent="0.2">
      <c r="B96" s="93">
        <f>SUBTOTAL(103,$C$21:$C96)</f>
        <v>76</v>
      </c>
      <c r="C96" s="385" t="str">
        <f>Просчет!B161</f>
        <v>Спецефект Гума (антивандальний) покриття другої сторони, фрез. фасад кат.2</v>
      </c>
      <c r="D96" s="385"/>
      <c r="E96" s="385"/>
      <c r="F96" s="385"/>
      <c r="G96" s="385"/>
      <c r="H96" s="385"/>
      <c r="I96" s="93" t="str">
        <f>Просчет!J161</f>
        <v>м²</v>
      </c>
      <c r="J96" s="93">
        <f>ROUND(Просчет!K161,3)</f>
        <v>0</v>
      </c>
      <c r="K96" s="110">
        <f>Просчет!M161</f>
        <v>0</v>
      </c>
      <c r="L96" s="111">
        <f t="shared" si="1"/>
        <v>0</v>
      </c>
    </row>
    <row r="97" spans="2:12" x14ac:dyDescent="0.2">
      <c r="B97" s="93">
        <f>SUBTOTAL(103,$C$21:$C97)</f>
        <v>77</v>
      </c>
      <c r="C97" s="385" t="str">
        <f>Просчет!B162</f>
        <v>Спецефект Автометалік Mobihel до 16 мм, фрез. фасад кат.1</v>
      </c>
      <c r="D97" s="385"/>
      <c r="E97" s="385"/>
      <c r="F97" s="385"/>
      <c r="G97" s="385"/>
      <c r="H97" s="385"/>
      <c r="I97" s="93" t="str">
        <f>Просчет!J162</f>
        <v>м²</v>
      </c>
      <c r="J97" s="93">
        <f>ROUND(Просчет!K162,3)</f>
        <v>0</v>
      </c>
      <c r="K97" s="110">
        <f>Просчет!M162</f>
        <v>4650</v>
      </c>
      <c r="L97" s="111">
        <f t="shared" si="1"/>
        <v>0</v>
      </c>
    </row>
    <row r="98" spans="2:12" x14ac:dyDescent="0.2">
      <c r="B98" s="93">
        <f>SUBTOTAL(103,$C$21:$C98)</f>
        <v>78</v>
      </c>
      <c r="C98" s="385" t="str">
        <f>Просчет!B163</f>
        <v>Спецефект Автометалік Mobihel до 16 мм, фрез. фасад кат.2</v>
      </c>
      <c r="D98" s="385"/>
      <c r="E98" s="385"/>
      <c r="F98" s="385"/>
      <c r="G98" s="385"/>
      <c r="H98" s="385"/>
      <c r="I98" s="93" t="str">
        <f>Просчет!J163</f>
        <v>м²</v>
      </c>
      <c r="J98" s="93">
        <f>ROUND(Просчет!K163,3)</f>
        <v>0</v>
      </c>
      <c r="K98" s="110">
        <f>Просчет!M163</f>
        <v>5070</v>
      </c>
      <c r="L98" s="111">
        <f t="shared" si="1"/>
        <v>0</v>
      </c>
    </row>
    <row r="99" spans="2:12" x14ac:dyDescent="0.2">
      <c r="B99" s="93">
        <f>SUBTOTAL(103,$C$21:$C99)</f>
        <v>79</v>
      </c>
      <c r="C99" s="385" t="str">
        <f>Просчет!B164</f>
        <v>Спецефект Автометалік Mobihel 19 мм, фрез. фасад кат.1</v>
      </c>
      <c r="D99" s="385"/>
      <c r="E99" s="385"/>
      <c r="F99" s="385"/>
      <c r="G99" s="385"/>
      <c r="H99" s="385"/>
      <c r="I99" s="93" t="str">
        <f>Просчет!J164</f>
        <v>м²</v>
      </c>
      <c r="J99" s="93">
        <f>ROUND(Просчет!K164,3)</f>
        <v>0</v>
      </c>
      <c r="K99" s="110">
        <f>Просчет!M164</f>
        <v>4720</v>
      </c>
      <c r="L99" s="111">
        <f t="shared" si="1"/>
        <v>0</v>
      </c>
    </row>
    <row r="100" spans="2:12" x14ac:dyDescent="0.2">
      <c r="B100" s="93">
        <f>SUBTOTAL(103,$C$21:$C100)</f>
        <v>80</v>
      </c>
      <c r="C100" s="385" t="str">
        <f>Просчет!B165</f>
        <v>Спецефект Автометалік Mobihel 19 мм, фрез. фасад кат.2</v>
      </c>
      <c r="D100" s="385"/>
      <c r="E100" s="385"/>
      <c r="F100" s="385"/>
      <c r="G100" s="385"/>
      <c r="H100" s="385"/>
      <c r="I100" s="93" t="str">
        <f>Просчет!J165</f>
        <v>м²</v>
      </c>
      <c r="J100" s="93">
        <f>ROUND(Просчет!K165,3)</f>
        <v>0</v>
      </c>
      <c r="K100" s="110">
        <f>Просчет!M165</f>
        <v>5140</v>
      </c>
      <c r="L100" s="111">
        <f t="shared" si="1"/>
        <v>0</v>
      </c>
    </row>
    <row r="101" spans="2:12" x14ac:dyDescent="0.2">
      <c r="B101" s="93">
        <f>SUBTOTAL(103,$C$21:$C101)</f>
        <v>81</v>
      </c>
      <c r="C101" s="385" t="str">
        <f>Просчет!B166</f>
        <v>Спецефект Автометалік Mobihel 22 мм, фрез. фасад кат.1</v>
      </c>
      <c r="D101" s="385"/>
      <c r="E101" s="385"/>
      <c r="F101" s="385"/>
      <c r="G101" s="385"/>
      <c r="H101" s="385"/>
      <c r="I101" s="93" t="str">
        <f>Просчет!J166</f>
        <v>м²</v>
      </c>
      <c r="J101" s="93">
        <f>ROUND(Просчет!K166,3)</f>
        <v>0</v>
      </c>
      <c r="K101" s="110">
        <f>Просчет!M166</f>
        <v>5420</v>
      </c>
      <c r="L101" s="111">
        <f t="shared" si="1"/>
        <v>0</v>
      </c>
    </row>
    <row r="102" spans="2:12" x14ac:dyDescent="0.2">
      <c r="B102" s="93">
        <f>SUBTOTAL(103,$C$21:$C102)</f>
        <v>82</v>
      </c>
      <c r="C102" s="385" t="str">
        <f>Просчет!B167</f>
        <v>Спецефект Автометалік Mobihel 22 мм, фрез. фасад кат.2</v>
      </c>
      <c r="D102" s="385"/>
      <c r="E102" s="385"/>
      <c r="F102" s="385"/>
      <c r="G102" s="385"/>
      <c r="H102" s="385"/>
      <c r="I102" s="93" t="str">
        <f>Просчет!J167</f>
        <v>м²</v>
      </c>
      <c r="J102" s="93">
        <f>ROUND(Просчет!K167,3)</f>
        <v>0</v>
      </c>
      <c r="K102" s="110">
        <f>Просчет!M167</f>
        <v>5840</v>
      </c>
      <c r="L102" s="111">
        <f t="shared" si="1"/>
        <v>0</v>
      </c>
    </row>
    <row r="103" spans="2:12" x14ac:dyDescent="0.2">
      <c r="B103" s="93">
        <f>SUBTOTAL(103,$C$21:$C103)</f>
        <v>83</v>
      </c>
      <c r="C103" s="385" t="str">
        <f>Просчет!B168</f>
        <v>Спецефект Автометалік Mobihel покриття другої сторони, фрез. фасад кат.1</v>
      </c>
      <c r="D103" s="385"/>
      <c r="E103" s="385"/>
      <c r="F103" s="385"/>
      <c r="G103" s="385"/>
      <c r="H103" s="385"/>
      <c r="I103" s="93" t="str">
        <f>Просчет!J168</f>
        <v>м²</v>
      </c>
      <c r="J103" s="93">
        <f>ROUND(Просчет!K168,3)</f>
        <v>0</v>
      </c>
      <c r="K103" s="110">
        <f>Просчет!M168</f>
        <v>0</v>
      </c>
      <c r="L103" s="111">
        <f t="shared" si="1"/>
        <v>0</v>
      </c>
    </row>
    <row r="104" spans="2:12" x14ac:dyDescent="0.2">
      <c r="B104" s="93">
        <f>SUBTOTAL(103,$C$21:$C104)</f>
        <v>84</v>
      </c>
      <c r="C104" s="385" t="str">
        <f>Просчет!B169</f>
        <v>Спецефект Автометалік Mobihel покриття другої сторони, фрез. фасад кат.2</v>
      </c>
      <c r="D104" s="385"/>
      <c r="E104" s="385"/>
      <c r="F104" s="385"/>
      <c r="G104" s="385"/>
      <c r="H104" s="385"/>
      <c r="I104" s="93" t="str">
        <f>Просчет!J169</f>
        <v>м²</v>
      </c>
      <c r="J104" s="93">
        <f>ROUND(Просчет!K169,3)</f>
        <v>0</v>
      </c>
      <c r="K104" s="110">
        <f>Просчет!M169</f>
        <v>0</v>
      </c>
      <c r="L104" s="111">
        <f t="shared" si="1"/>
        <v>0</v>
      </c>
    </row>
    <row r="105" spans="2:12" x14ac:dyDescent="0.2">
      <c r="B105" s="93">
        <f>SUBTOTAL(103,$C$21:$C105)</f>
        <v>85</v>
      </c>
      <c r="C105" s="385" t="str">
        <f>Просчет!B170</f>
        <v>Спецефект Рідке скло (антивандальний) до 16 мм, фрез. фасад кат.1</v>
      </c>
      <c r="D105" s="385"/>
      <c r="E105" s="385"/>
      <c r="F105" s="385"/>
      <c r="G105" s="385"/>
      <c r="H105" s="385"/>
      <c r="I105" s="93" t="str">
        <f>Просчет!J170</f>
        <v>м²</v>
      </c>
      <c r="J105" s="93">
        <f>ROUND(Просчет!K170,3)</f>
        <v>0</v>
      </c>
      <c r="K105" s="110">
        <f>Просчет!M170</f>
        <v>4650</v>
      </c>
      <c r="L105" s="111">
        <f t="shared" si="1"/>
        <v>0</v>
      </c>
    </row>
    <row r="106" spans="2:12" x14ac:dyDescent="0.2">
      <c r="B106" s="93">
        <f>SUBTOTAL(103,$C$21:$C106)</f>
        <v>86</v>
      </c>
      <c r="C106" s="385" t="str">
        <f>Просчет!B171</f>
        <v>Спецефект Рідке скло (антивандальний)до 16 мм, фрез. фасад кат.2</v>
      </c>
      <c r="D106" s="385"/>
      <c r="E106" s="385"/>
      <c r="F106" s="385"/>
      <c r="G106" s="385"/>
      <c r="H106" s="385"/>
      <c r="I106" s="93" t="str">
        <f>Просчет!J171</f>
        <v>м²</v>
      </c>
      <c r="J106" s="93">
        <f>ROUND(Просчет!K171,3)</f>
        <v>0</v>
      </c>
      <c r="K106" s="110">
        <f>Просчет!M171</f>
        <v>5070</v>
      </c>
      <c r="L106" s="111">
        <f t="shared" si="1"/>
        <v>0</v>
      </c>
    </row>
    <row r="107" spans="2:12" x14ac:dyDescent="0.2">
      <c r="B107" s="93">
        <f>SUBTOTAL(103,$C$21:$C107)</f>
        <v>87</v>
      </c>
      <c r="C107" s="385" t="str">
        <f>Просчет!B172</f>
        <v>Спецефект Рідке скло (антивандальний) 19 мм, фрез. фасад кат.1</v>
      </c>
      <c r="D107" s="385"/>
      <c r="E107" s="385"/>
      <c r="F107" s="385"/>
      <c r="G107" s="385"/>
      <c r="H107" s="385"/>
      <c r="I107" s="93" t="str">
        <f>Просчет!J172</f>
        <v>м²</v>
      </c>
      <c r="J107" s="93">
        <f>ROUND(Просчет!K172,3)</f>
        <v>0</v>
      </c>
      <c r="K107" s="110">
        <f>Просчет!M172</f>
        <v>4720</v>
      </c>
      <c r="L107" s="111">
        <f t="shared" si="1"/>
        <v>0</v>
      </c>
    </row>
    <row r="108" spans="2:12" x14ac:dyDescent="0.2">
      <c r="B108" s="93">
        <f>SUBTOTAL(103,$C$21:$C108)</f>
        <v>88</v>
      </c>
      <c r="C108" s="385" t="str">
        <f>Просчет!B173</f>
        <v>Спецефект Рідке скло (антивандальний) 19 мм, фрез. фасад кат.2</v>
      </c>
      <c r="D108" s="385"/>
      <c r="E108" s="385"/>
      <c r="F108" s="385"/>
      <c r="G108" s="385"/>
      <c r="H108" s="385"/>
      <c r="I108" s="93" t="str">
        <f>Просчет!J173</f>
        <v>м²</v>
      </c>
      <c r="J108" s="93">
        <f>ROUND(Просчет!K173,3)</f>
        <v>0</v>
      </c>
      <c r="K108" s="110">
        <f>Просчет!M173</f>
        <v>5140</v>
      </c>
      <c r="L108" s="111">
        <f t="shared" si="1"/>
        <v>0</v>
      </c>
    </row>
    <row r="109" spans="2:12" x14ac:dyDescent="0.2">
      <c r="B109" s="93">
        <f>SUBTOTAL(103,$C$21:$C109)</f>
        <v>89</v>
      </c>
      <c r="C109" s="385" t="str">
        <f>Просчет!B174</f>
        <v>Спецефект Рідке скло (антивандальний) 22 мм, фрез. фасад кат.1</v>
      </c>
      <c r="D109" s="385"/>
      <c r="E109" s="385"/>
      <c r="F109" s="385"/>
      <c r="G109" s="385"/>
      <c r="H109" s="385"/>
      <c r="I109" s="93" t="str">
        <f>Просчет!J174</f>
        <v>м²</v>
      </c>
      <c r="J109" s="93">
        <f>ROUND(Просчет!K174,3)</f>
        <v>0</v>
      </c>
      <c r="K109" s="110">
        <f>Просчет!M174</f>
        <v>5420</v>
      </c>
      <c r="L109" s="111">
        <f t="shared" si="1"/>
        <v>0</v>
      </c>
    </row>
    <row r="110" spans="2:12" x14ac:dyDescent="0.2">
      <c r="B110" s="93">
        <f>SUBTOTAL(103,$C$21:$C110)</f>
        <v>90</v>
      </c>
      <c r="C110" s="385" t="str">
        <f>Просчет!B175</f>
        <v>Спецефект Рідке скло (антивандальний) 22 мм, фрез. фасад кат.2</v>
      </c>
      <c r="D110" s="385"/>
      <c r="E110" s="385"/>
      <c r="F110" s="385"/>
      <c r="G110" s="385"/>
      <c r="H110" s="385"/>
      <c r="I110" s="93" t="str">
        <f>Просчет!J175</f>
        <v>м²</v>
      </c>
      <c r="J110" s="93">
        <f>ROUND(Просчет!K175,3)</f>
        <v>0</v>
      </c>
      <c r="K110" s="110">
        <f>Просчет!M175</f>
        <v>5840</v>
      </c>
      <c r="L110" s="111">
        <f t="shared" si="1"/>
        <v>0</v>
      </c>
    </row>
    <row r="111" spans="2:12" x14ac:dyDescent="0.2">
      <c r="B111" s="93">
        <f>SUBTOTAL(103,$C$21:$C111)</f>
        <v>91</v>
      </c>
      <c r="C111" s="385" t="str">
        <f>Просчет!B176</f>
        <v>Спецефект Рідке скло (антивандальний) покриття другої сторони, фрез. фасад кат.1</v>
      </c>
      <c r="D111" s="385"/>
      <c r="E111" s="385"/>
      <c r="F111" s="385"/>
      <c r="G111" s="385"/>
      <c r="H111" s="385"/>
      <c r="I111" s="93" t="str">
        <f>Просчет!J176</f>
        <v>м²</v>
      </c>
      <c r="J111" s="93">
        <f>ROUND(Просчет!K176,3)</f>
        <v>0</v>
      </c>
      <c r="K111" s="110">
        <f>Просчет!M176</f>
        <v>0</v>
      </c>
      <c r="L111" s="111">
        <f t="shared" si="1"/>
        <v>0</v>
      </c>
    </row>
    <row r="112" spans="2:12" x14ac:dyDescent="0.2">
      <c r="B112" s="93">
        <f>SUBTOTAL(103,$C$21:$C112)</f>
        <v>92</v>
      </c>
      <c r="C112" s="385" t="str">
        <f>Просчет!B177</f>
        <v>Спецефект Рідке скло (антивандальний) покриття другої сторони, фрез. фасад кат.2</v>
      </c>
      <c r="D112" s="385"/>
      <c r="E112" s="385"/>
      <c r="F112" s="385"/>
      <c r="G112" s="385"/>
      <c r="H112" s="385"/>
      <c r="I112" s="93" t="str">
        <f>Просчет!J177</f>
        <v>м²</v>
      </c>
      <c r="J112" s="93">
        <f>ROUND(Просчет!K177,3)</f>
        <v>0</v>
      </c>
      <c r="K112" s="110">
        <f>Просчет!M177</f>
        <v>0</v>
      </c>
      <c r="L112" s="111">
        <f t="shared" si="1"/>
        <v>0</v>
      </c>
    </row>
    <row r="113" spans="2:12" x14ac:dyDescent="0.2">
      <c r="B113" s="93">
        <f>SUBTOTAL(103,$C$21:$C113)</f>
        <v>93</v>
      </c>
      <c r="C113" s="385" t="str">
        <f>Просчет!B178</f>
        <v>Спецефект Перли, Графіт до 16 мм, фрез. фасад кат.1</v>
      </c>
      <c r="D113" s="385"/>
      <c r="E113" s="385"/>
      <c r="F113" s="385"/>
      <c r="G113" s="385"/>
      <c r="H113" s="385"/>
      <c r="I113" s="93" t="str">
        <f>Просчет!J178</f>
        <v>м²</v>
      </c>
      <c r="J113" s="93">
        <f>ROUND(Просчет!K178,3)</f>
        <v>0</v>
      </c>
      <c r="K113" s="110">
        <f>Просчет!M178</f>
        <v>4790</v>
      </c>
      <c r="L113" s="111">
        <f t="shared" si="1"/>
        <v>0</v>
      </c>
    </row>
    <row r="114" spans="2:12" x14ac:dyDescent="0.2">
      <c r="B114" s="169">
        <f>SUBTOTAL(103,$C$21:$C114)</f>
        <v>94</v>
      </c>
      <c r="C114" s="385" t="str">
        <f>Просчет!B179</f>
        <v>Спецефект Перли, Графіт до 16 мм, фрез. фасад кат.2</v>
      </c>
      <c r="D114" s="385"/>
      <c r="E114" s="385"/>
      <c r="F114" s="385"/>
      <c r="G114" s="385"/>
      <c r="H114" s="385"/>
      <c r="I114" s="93" t="str">
        <f>Просчет!J179</f>
        <v>м²</v>
      </c>
      <c r="J114" s="93">
        <f>ROUND(Просчет!K179,3)</f>
        <v>0</v>
      </c>
      <c r="K114" s="110">
        <f>Просчет!M179</f>
        <v>5210</v>
      </c>
      <c r="L114" s="111">
        <f t="shared" si="1"/>
        <v>0</v>
      </c>
    </row>
    <row r="115" spans="2:12" x14ac:dyDescent="0.2">
      <c r="B115" s="93">
        <f>SUBTOTAL(103,$C$21:$C115)</f>
        <v>95</v>
      </c>
      <c r="C115" s="385" t="str">
        <f>Просчет!B180</f>
        <v>Спецефект Перли, Графіт 19 мм, фрез. фасад кат.1</v>
      </c>
      <c r="D115" s="385"/>
      <c r="E115" s="385"/>
      <c r="F115" s="385"/>
      <c r="G115" s="385"/>
      <c r="H115" s="385"/>
      <c r="I115" s="93" t="str">
        <f>Просчет!J180</f>
        <v>м²</v>
      </c>
      <c r="J115" s="93">
        <f>ROUND(Просчет!K180,3)</f>
        <v>0</v>
      </c>
      <c r="K115" s="110">
        <f>Просчет!M180</f>
        <v>4860</v>
      </c>
      <c r="L115" s="111">
        <f t="shared" si="1"/>
        <v>0</v>
      </c>
    </row>
    <row r="116" spans="2:12" x14ac:dyDescent="0.2">
      <c r="B116" s="93">
        <f>SUBTOTAL(103,$C$21:$C116)</f>
        <v>96</v>
      </c>
      <c r="C116" s="385" t="str">
        <f>Просчет!B181</f>
        <v>Спецефект Перли, Графіт 19 мм, фрез. фасад кат.2</v>
      </c>
      <c r="D116" s="385"/>
      <c r="E116" s="385"/>
      <c r="F116" s="385"/>
      <c r="G116" s="385"/>
      <c r="H116" s="385"/>
      <c r="I116" s="93" t="str">
        <f>Просчет!J181</f>
        <v>м²</v>
      </c>
      <c r="J116" s="93">
        <f>ROUND(Просчет!K181,3)</f>
        <v>0</v>
      </c>
      <c r="K116" s="110">
        <f>Просчет!M181</f>
        <v>5280</v>
      </c>
      <c r="L116" s="111">
        <f t="shared" si="1"/>
        <v>0</v>
      </c>
    </row>
    <row r="117" spans="2:12" x14ac:dyDescent="0.2">
      <c r="B117" s="93">
        <f>SUBTOTAL(103,$C$21:$C117)</f>
        <v>97</v>
      </c>
      <c r="C117" s="385" t="str">
        <f>Просчет!B182</f>
        <v>Спецефект Перли, Графіт 22 мм, фрез. фасад кат.1</v>
      </c>
      <c r="D117" s="385"/>
      <c r="E117" s="385"/>
      <c r="F117" s="385"/>
      <c r="G117" s="385"/>
      <c r="H117" s="385"/>
      <c r="I117" s="93" t="str">
        <f>Просчет!J182</f>
        <v>м²</v>
      </c>
      <c r="J117" s="93">
        <f>ROUND(Просчет!K182,3)</f>
        <v>0</v>
      </c>
      <c r="K117" s="110">
        <f>Просчет!M182</f>
        <v>5560</v>
      </c>
      <c r="L117" s="111">
        <f t="shared" si="1"/>
        <v>0</v>
      </c>
    </row>
    <row r="118" spans="2:12" x14ac:dyDescent="0.2">
      <c r="B118" s="93">
        <f>SUBTOTAL(103,$C$21:$C118)</f>
        <v>98</v>
      </c>
      <c r="C118" s="385" t="str">
        <f>Просчет!B183</f>
        <v>Спецефект Перли, Графіт 22 мм, фрез. фасад кат.2</v>
      </c>
      <c r="D118" s="385"/>
      <c r="E118" s="385"/>
      <c r="F118" s="385"/>
      <c r="G118" s="385"/>
      <c r="H118" s="385"/>
      <c r="I118" s="93" t="str">
        <f>Просчет!J183</f>
        <v>м²</v>
      </c>
      <c r="J118" s="93">
        <f>ROUND(Просчет!K183,3)</f>
        <v>0</v>
      </c>
      <c r="K118" s="110">
        <f>Просчет!M183</f>
        <v>5980</v>
      </c>
      <c r="L118" s="111">
        <f t="shared" si="1"/>
        <v>0</v>
      </c>
    </row>
    <row r="119" spans="2:12" x14ac:dyDescent="0.2">
      <c r="B119" s="93">
        <f>SUBTOTAL(103,$C$21:$C119)</f>
        <v>99</v>
      </c>
      <c r="C119" s="385" t="str">
        <f>Просчет!B184</f>
        <v>Спецефект Перли, Графіт покриття другої сторони, фрез. фасад кат.1</v>
      </c>
      <c r="D119" s="385"/>
      <c r="E119" s="385"/>
      <c r="F119" s="385"/>
      <c r="G119" s="385"/>
      <c r="H119" s="385"/>
      <c r="I119" s="93" t="str">
        <f>Просчет!J184</f>
        <v>м²</v>
      </c>
      <c r="J119" s="93">
        <f>ROUND(Просчет!K184,3)</f>
        <v>0</v>
      </c>
      <c r="K119" s="110">
        <f>Просчет!M184</f>
        <v>0</v>
      </c>
      <c r="L119" s="111">
        <f t="shared" si="1"/>
        <v>0</v>
      </c>
    </row>
    <row r="120" spans="2:12" x14ac:dyDescent="0.2">
      <c r="B120" s="93">
        <f>SUBTOTAL(103,$C$21:$C120)</f>
        <v>100</v>
      </c>
      <c r="C120" s="385" t="str">
        <f>Просчет!B185</f>
        <v>Спецефект Перли, Графіт покриття другої сторони, фрез. фасад кат.2</v>
      </c>
      <c r="D120" s="385"/>
      <c r="E120" s="385"/>
      <c r="F120" s="385"/>
      <c r="G120" s="385"/>
      <c r="H120" s="385"/>
      <c r="I120" s="93" t="str">
        <f>Просчет!J185</f>
        <v>м²</v>
      </c>
      <c r="J120" s="93">
        <f>ROUND(Просчет!K185,3)</f>
        <v>0</v>
      </c>
      <c r="K120" s="110">
        <f>Просчет!M185</f>
        <v>0</v>
      </c>
      <c r="L120" s="111">
        <f t="shared" si="1"/>
        <v>0</v>
      </c>
    </row>
    <row r="121" spans="2:12" x14ac:dyDescent="0.2">
      <c r="B121" s="93">
        <f>SUBTOTAL(103,$C$21:$C121)</f>
        <v>101</v>
      </c>
      <c r="C121" s="385" t="str">
        <f>Просчет!B186</f>
        <v>Спецефект Зоряне небо до 16 мм, фрез. фасад кат.1</v>
      </c>
      <c r="D121" s="385"/>
      <c r="E121" s="385"/>
      <c r="F121" s="385"/>
      <c r="G121" s="385"/>
      <c r="H121" s="385"/>
      <c r="I121" s="93" t="str">
        <f>Просчет!J186</f>
        <v>м²</v>
      </c>
      <c r="J121" s="93">
        <f>ROUND(Просчет!K186,3)</f>
        <v>0</v>
      </c>
      <c r="K121" s="110">
        <f>Просчет!M186</f>
        <v>4930</v>
      </c>
      <c r="L121" s="111">
        <f t="shared" si="1"/>
        <v>0</v>
      </c>
    </row>
    <row r="122" spans="2:12" x14ac:dyDescent="0.2">
      <c r="B122" s="93">
        <f>SUBTOTAL(103,$C$21:$C122)</f>
        <v>102</v>
      </c>
      <c r="C122" s="385" t="str">
        <f>Просчет!B187</f>
        <v>Спецефект Зоряне небо до 16 мм, фрез. фасад кат.2</v>
      </c>
      <c r="D122" s="385"/>
      <c r="E122" s="385"/>
      <c r="F122" s="385"/>
      <c r="G122" s="385"/>
      <c r="H122" s="385"/>
      <c r="I122" s="93" t="str">
        <f>Просчет!J187</f>
        <v>м²</v>
      </c>
      <c r="J122" s="93">
        <f>ROUND(Просчет!K187,3)</f>
        <v>0</v>
      </c>
      <c r="K122" s="110">
        <f>Просчет!M187</f>
        <v>5350</v>
      </c>
      <c r="L122" s="111">
        <f t="shared" si="1"/>
        <v>0</v>
      </c>
    </row>
    <row r="123" spans="2:12" x14ac:dyDescent="0.2">
      <c r="B123" s="93">
        <f>SUBTOTAL(103,$C$21:$C123)</f>
        <v>103</v>
      </c>
      <c r="C123" s="385" t="str">
        <f>Просчет!B188</f>
        <v>Спецефект Зоряне небо 19 мм, фрез. фасад кат.1</v>
      </c>
      <c r="D123" s="385"/>
      <c r="E123" s="385"/>
      <c r="F123" s="385"/>
      <c r="G123" s="385"/>
      <c r="H123" s="385"/>
      <c r="I123" s="93" t="str">
        <f>Просчет!J188</f>
        <v>м²</v>
      </c>
      <c r="J123" s="93">
        <f>ROUND(Просчет!K188,3)</f>
        <v>0</v>
      </c>
      <c r="K123" s="110">
        <f>Просчет!M188</f>
        <v>5000</v>
      </c>
      <c r="L123" s="111">
        <f t="shared" si="1"/>
        <v>0</v>
      </c>
    </row>
    <row r="124" spans="2:12" x14ac:dyDescent="0.2">
      <c r="B124" s="93">
        <f>SUBTOTAL(103,$C$21:$C124)</f>
        <v>104</v>
      </c>
      <c r="C124" s="385" t="str">
        <f>Просчет!B189</f>
        <v>Спецефект Зоряне небо 19 мм, фрез. фасад кат.2</v>
      </c>
      <c r="D124" s="385"/>
      <c r="E124" s="385"/>
      <c r="F124" s="385"/>
      <c r="G124" s="385"/>
      <c r="H124" s="385"/>
      <c r="I124" s="93" t="str">
        <f>Просчет!J189</f>
        <v>м²</v>
      </c>
      <c r="J124" s="93">
        <f>ROUND(Просчет!K189,3)</f>
        <v>0</v>
      </c>
      <c r="K124" s="110">
        <f>Просчет!M189</f>
        <v>5420</v>
      </c>
      <c r="L124" s="111">
        <f t="shared" si="1"/>
        <v>0</v>
      </c>
    </row>
    <row r="125" spans="2:12" x14ac:dyDescent="0.2">
      <c r="B125" s="93">
        <f>SUBTOTAL(103,$C$21:$C125)</f>
        <v>105</v>
      </c>
      <c r="C125" s="385" t="str">
        <f>Просчет!B190</f>
        <v>Спецефект Зоряне небо 22 мм, фрез. фасад кат.1</v>
      </c>
      <c r="D125" s="385"/>
      <c r="E125" s="385"/>
      <c r="F125" s="385"/>
      <c r="G125" s="385"/>
      <c r="H125" s="385"/>
      <c r="I125" s="93" t="str">
        <f>Просчет!J190</f>
        <v>м²</v>
      </c>
      <c r="J125" s="93">
        <f>ROUND(Просчет!K190,3)</f>
        <v>0</v>
      </c>
      <c r="K125" s="110">
        <f>Просчет!M190</f>
        <v>5700</v>
      </c>
      <c r="L125" s="111">
        <f t="shared" si="1"/>
        <v>0</v>
      </c>
    </row>
    <row r="126" spans="2:12" x14ac:dyDescent="0.2">
      <c r="B126" s="169">
        <f>SUBTOTAL(103,$C$21:$C126)</f>
        <v>106</v>
      </c>
      <c r="C126" s="385" t="str">
        <f>Просчет!B191</f>
        <v>Спецефект Зоряне небо 22 мм, фрез. фасад кат.2</v>
      </c>
      <c r="D126" s="385"/>
      <c r="E126" s="385"/>
      <c r="F126" s="385"/>
      <c r="G126" s="385"/>
      <c r="H126" s="385"/>
      <c r="I126" s="93" t="str">
        <f>Просчет!J191</f>
        <v>м²</v>
      </c>
      <c r="J126" s="93">
        <f>ROUND(Просчет!K191,3)</f>
        <v>0</v>
      </c>
      <c r="K126" s="110">
        <f>Просчет!M191</f>
        <v>6120</v>
      </c>
      <c r="L126" s="111">
        <f t="shared" si="1"/>
        <v>0</v>
      </c>
    </row>
    <row r="127" spans="2:12" x14ac:dyDescent="0.2">
      <c r="B127" s="93">
        <f>SUBTOTAL(103,$C$21:$C127)</f>
        <v>107</v>
      </c>
      <c r="C127" s="385" t="str">
        <f>Просчет!B192</f>
        <v>Спецефект Зоряне небо покриття другої сторони, фрез. фасад кат.1</v>
      </c>
      <c r="D127" s="385"/>
      <c r="E127" s="385"/>
      <c r="F127" s="385"/>
      <c r="G127" s="385"/>
      <c r="H127" s="385"/>
      <c r="I127" s="93" t="str">
        <f>Просчет!J192</f>
        <v>м²</v>
      </c>
      <c r="J127" s="93">
        <f>ROUND(Просчет!K192,3)</f>
        <v>0</v>
      </c>
      <c r="K127" s="110">
        <f>Просчет!M192</f>
        <v>0</v>
      </c>
      <c r="L127" s="111">
        <f t="shared" si="1"/>
        <v>0</v>
      </c>
    </row>
    <row r="128" spans="2:12" x14ac:dyDescent="0.2">
      <c r="B128" s="169">
        <f>SUBTOTAL(103,$C$21:$C128)</f>
        <v>108</v>
      </c>
      <c r="C128" s="385" t="str">
        <f>Просчет!B193</f>
        <v>Спецефект Зоряне небо покриття другої сторони, фрез. фасад кат.2</v>
      </c>
      <c r="D128" s="385"/>
      <c r="E128" s="385"/>
      <c r="F128" s="385"/>
      <c r="G128" s="385"/>
      <c r="H128" s="385"/>
      <c r="I128" s="93" t="str">
        <f>Просчет!J193</f>
        <v>м²</v>
      </c>
      <c r="J128" s="93">
        <f>ROUND(Просчет!K193,3)</f>
        <v>0</v>
      </c>
      <c r="K128" s="110">
        <f>Просчет!M193</f>
        <v>0</v>
      </c>
      <c r="L128" s="111">
        <f t="shared" si="1"/>
        <v>0</v>
      </c>
    </row>
    <row r="129" spans="2:12" x14ac:dyDescent="0.2">
      <c r="B129" s="93">
        <f>SUBTOTAL(103,$C$21:$C129)</f>
        <v>109</v>
      </c>
      <c r="C129" s="385" t="str">
        <f>Просчет!B194</f>
        <v>Матове покриття з патиною 16 мм, фрез. фасад кат.1</v>
      </c>
      <c r="D129" s="385"/>
      <c r="E129" s="385"/>
      <c r="F129" s="385"/>
      <c r="G129" s="385"/>
      <c r="H129" s="385"/>
      <c r="I129" s="93" t="str">
        <f>Просчет!J194</f>
        <v>м²</v>
      </c>
      <c r="J129" s="93">
        <f>ROUND(Просчет!K194,3)</f>
        <v>0</v>
      </c>
      <c r="K129" s="110">
        <f>Просчет!M194</f>
        <v>4230</v>
      </c>
      <c r="L129" s="111">
        <f t="shared" si="1"/>
        <v>0</v>
      </c>
    </row>
    <row r="130" spans="2:12" x14ac:dyDescent="0.2">
      <c r="B130" s="93">
        <f>SUBTOTAL(103,$C$21:$C130)</f>
        <v>110</v>
      </c>
      <c r="C130" s="385" t="str">
        <f>Просчет!B195</f>
        <v>Матове покриття з патиною 16 мм, фрез. фасад кат.2</v>
      </c>
      <c r="D130" s="385"/>
      <c r="E130" s="385"/>
      <c r="F130" s="385"/>
      <c r="G130" s="385"/>
      <c r="H130" s="385"/>
      <c r="I130" s="93" t="str">
        <f>Просчет!J195</f>
        <v>м²</v>
      </c>
      <c r="J130" s="93">
        <f>ROUND(Просчет!K195,3)</f>
        <v>0</v>
      </c>
      <c r="K130" s="110">
        <f>Просчет!M195</f>
        <v>4650</v>
      </c>
      <c r="L130" s="111">
        <f t="shared" si="1"/>
        <v>0</v>
      </c>
    </row>
    <row r="131" spans="2:12" x14ac:dyDescent="0.2">
      <c r="B131" s="93">
        <f>SUBTOTAL(103,$C$21:$C131)</f>
        <v>111</v>
      </c>
      <c r="C131" s="385" t="str">
        <f>Просчет!B196</f>
        <v>Матове покриття з патиною 19 мм, фрез. фасад кат.1</v>
      </c>
      <c r="D131" s="385"/>
      <c r="E131" s="385"/>
      <c r="F131" s="385"/>
      <c r="G131" s="385"/>
      <c r="H131" s="385"/>
      <c r="I131" s="93" t="str">
        <f>Просчет!J196</f>
        <v>м²</v>
      </c>
      <c r="J131" s="93">
        <f>ROUND(Просчет!K196,3)</f>
        <v>0</v>
      </c>
      <c r="K131" s="110">
        <f>Просчет!M196</f>
        <v>4300</v>
      </c>
      <c r="L131" s="111">
        <f t="shared" si="1"/>
        <v>0</v>
      </c>
    </row>
    <row r="132" spans="2:12" x14ac:dyDescent="0.2">
      <c r="B132" s="93">
        <f>SUBTOTAL(103,$C$21:$C132)</f>
        <v>112</v>
      </c>
      <c r="C132" s="385" t="str">
        <f>Просчет!B197</f>
        <v>Матове покриття з патиною 19 мм, фрез. фасад кат.2</v>
      </c>
      <c r="D132" s="385"/>
      <c r="E132" s="385"/>
      <c r="F132" s="385"/>
      <c r="G132" s="385"/>
      <c r="H132" s="385"/>
      <c r="I132" s="93" t="str">
        <f>Просчет!J197</f>
        <v>м²</v>
      </c>
      <c r="J132" s="93">
        <f>ROUND(Просчет!K197,3)</f>
        <v>0</v>
      </c>
      <c r="K132" s="110">
        <f>Просчет!M197</f>
        <v>4720</v>
      </c>
      <c r="L132" s="111">
        <f t="shared" si="1"/>
        <v>0</v>
      </c>
    </row>
    <row r="133" spans="2:12" x14ac:dyDescent="0.2">
      <c r="B133" s="93">
        <f>SUBTOTAL(103,$C$21:$C133)</f>
        <v>113</v>
      </c>
      <c r="C133" s="385" t="str">
        <f>Просчет!B198</f>
        <v>Матове покриття з патиною 22 мм, фрез. фасад кат.1</v>
      </c>
      <c r="D133" s="385"/>
      <c r="E133" s="385"/>
      <c r="F133" s="385"/>
      <c r="G133" s="385"/>
      <c r="H133" s="385"/>
      <c r="I133" s="93" t="str">
        <f>Просчет!J198</f>
        <v>м²</v>
      </c>
      <c r="J133" s="93">
        <f>ROUND(Просчет!K198,3)</f>
        <v>0</v>
      </c>
      <c r="K133" s="110">
        <f>Просчет!M198</f>
        <v>5000</v>
      </c>
      <c r="L133" s="111">
        <f t="shared" si="1"/>
        <v>0</v>
      </c>
    </row>
    <row r="134" spans="2:12" x14ac:dyDescent="0.2">
      <c r="B134" s="93">
        <f>SUBTOTAL(103,$C$21:$C134)</f>
        <v>114</v>
      </c>
      <c r="C134" s="385" t="str">
        <f>Просчет!B199</f>
        <v>Матове покриття з патиною 22 мм, фрез. фасад кат.2</v>
      </c>
      <c r="D134" s="385"/>
      <c r="E134" s="385"/>
      <c r="F134" s="385"/>
      <c r="G134" s="385"/>
      <c r="H134" s="385"/>
      <c r="I134" s="93" t="str">
        <f>Просчет!J199</f>
        <v>м²</v>
      </c>
      <c r="J134" s="93">
        <f>ROUND(Просчет!K199,3)</f>
        <v>0</v>
      </c>
      <c r="K134" s="110">
        <f>Просчет!M199</f>
        <v>5420</v>
      </c>
      <c r="L134" s="111">
        <f t="shared" si="1"/>
        <v>0</v>
      </c>
    </row>
    <row r="135" spans="2:12" x14ac:dyDescent="0.2">
      <c r="B135" s="93">
        <f>SUBTOTAL(103,$C$21:$C135)</f>
        <v>115</v>
      </c>
      <c r="C135" s="385" t="str">
        <f>Просчет!B200</f>
        <v>Матове покриття з патиною покриття другої сторони кат.1</v>
      </c>
      <c r="D135" s="385"/>
      <c r="E135" s="385"/>
      <c r="F135" s="385"/>
      <c r="G135" s="385"/>
      <c r="H135" s="385"/>
      <c r="I135" s="93" t="str">
        <f>Просчет!J200</f>
        <v>м²</v>
      </c>
      <c r="J135" s="93">
        <f>ROUND(Просчет!K200,3)</f>
        <v>0</v>
      </c>
      <c r="K135" s="110">
        <f>Просчет!M200</f>
        <v>2115</v>
      </c>
      <c r="L135" s="111">
        <f t="shared" si="1"/>
        <v>0</v>
      </c>
    </row>
    <row r="136" spans="2:12" x14ac:dyDescent="0.2">
      <c r="B136" s="93">
        <f>SUBTOTAL(103,$C$21:$C136)</f>
        <v>116</v>
      </c>
      <c r="C136" s="385" t="str">
        <f>Просчет!B201</f>
        <v>Матове покриття з патиною покриття другої сторони кат.2</v>
      </c>
      <c r="D136" s="385"/>
      <c r="E136" s="385"/>
      <c r="F136" s="385"/>
      <c r="G136" s="385"/>
      <c r="H136" s="385"/>
      <c r="I136" s="93" t="str">
        <f>Просчет!J201</f>
        <v>м²</v>
      </c>
      <c r="J136" s="93">
        <f>ROUND(Просчет!K201,3)</f>
        <v>0</v>
      </c>
      <c r="K136" s="110">
        <f>Просчет!M201</f>
        <v>2325</v>
      </c>
      <c r="L136" s="111">
        <f t="shared" si="1"/>
        <v>0</v>
      </c>
    </row>
    <row r="137" spans="2:12" x14ac:dyDescent="0.2">
      <c r="B137" s="93">
        <f>SUBTOTAL(103,$C$21:$C137)</f>
        <v>117</v>
      </c>
      <c r="C137" s="385" t="str">
        <f>Просчет!B202</f>
        <v>Глянцеве покриття з патиною 16 мм, фрез. фасад кат.1</v>
      </c>
      <c r="D137" s="385"/>
      <c r="E137" s="385"/>
      <c r="F137" s="385"/>
      <c r="G137" s="385"/>
      <c r="H137" s="385"/>
      <c r="I137" s="93" t="str">
        <f>Просчет!J202</f>
        <v>м²</v>
      </c>
      <c r="J137" s="93">
        <f>ROUND(Просчет!K202,3)</f>
        <v>0</v>
      </c>
      <c r="K137" s="110">
        <f>Просчет!M202</f>
        <v>4720</v>
      </c>
      <c r="L137" s="111">
        <f t="shared" si="1"/>
        <v>0</v>
      </c>
    </row>
    <row r="138" spans="2:12" x14ac:dyDescent="0.2">
      <c r="B138" s="169">
        <f>SUBTOTAL(103,$C$21:$C138)</f>
        <v>118</v>
      </c>
      <c r="C138" s="385" t="str">
        <f>Просчет!B203</f>
        <v>Глянцеве покриття з патиною 16 мм, фрез. фасад кат.2</v>
      </c>
      <c r="D138" s="385"/>
      <c r="E138" s="385"/>
      <c r="F138" s="385"/>
      <c r="G138" s="385"/>
      <c r="H138" s="385"/>
      <c r="I138" s="93" t="str">
        <f>Просчет!J203</f>
        <v>м²</v>
      </c>
      <c r="J138" s="93">
        <f>ROUND(Просчет!K203,3)</f>
        <v>0</v>
      </c>
      <c r="K138" s="110">
        <f>Просчет!M203</f>
        <v>5140</v>
      </c>
      <c r="L138" s="111">
        <f t="shared" si="1"/>
        <v>0</v>
      </c>
    </row>
    <row r="139" spans="2:12" x14ac:dyDescent="0.2">
      <c r="B139" s="93">
        <f>SUBTOTAL(103,$C$21:$C139)</f>
        <v>119</v>
      </c>
      <c r="C139" s="385" t="str">
        <f>Просчет!B204</f>
        <v>Глянцеве покриття з патиною 19 мм, фрез. фасад кат.1</v>
      </c>
      <c r="D139" s="385"/>
      <c r="E139" s="385"/>
      <c r="F139" s="385"/>
      <c r="G139" s="385"/>
      <c r="H139" s="385"/>
      <c r="I139" s="93" t="str">
        <f>Просчет!J204</f>
        <v>м²</v>
      </c>
      <c r="J139" s="93">
        <f>ROUND(Просчет!K204,3)</f>
        <v>0</v>
      </c>
      <c r="K139" s="110">
        <f>Просчет!M204</f>
        <v>4790</v>
      </c>
      <c r="L139" s="111">
        <f t="shared" si="1"/>
        <v>0</v>
      </c>
    </row>
    <row r="140" spans="2:12" x14ac:dyDescent="0.2">
      <c r="B140" s="93">
        <f>SUBTOTAL(103,$C$21:$C140)</f>
        <v>120</v>
      </c>
      <c r="C140" s="385" t="str">
        <f>Просчет!B205</f>
        <v>Глянцеве покриття з патиною 19 мм, фрез. фасад кат.2</v>
      </c>
      <c r="D140" s="385"/>
      <c r="E140" s="385"/>
      <c r="F140" s="385"/>
      <c r="G140" s="385"/>
      <c r="H140" s="385"/>
      <c r="I140" s="93" t="str">
        <f>Просчет!J205</f>
        <v>м²</v>
      </c>
      <c r="J140" s="93">
        <f>ROUND(Просчет!K205,3)</f>
        <v>0</v>
      </c>
      <c r="K140" s="110">
        <f>Просчет!M205</f>
        <v>5210</v>
      </c>
      <c r="L140" s="111">
        <f t="shared" si="1"/>
        <v>0</v>
      </c>
    </row>
    <row r="141" spans="2:12" x14ac:dyDescent="0.2">
      <c r="B141" s="93">
        <f>SUBTOTAL(103,$C$21:$C141)</f>
        <v>121</v>
      </c>
      <c r="C141" s="385" t="str">
        <f>Просчет!B206</f>
        <v>Глянцеве покриття з патиною 22 мм, фрез. фасад кат.1</v>
      </c>
      <c r="D141" s="385"/>
      <c r="E141" s="385"/>
      <c r="F141" s="385"/>
      <c r="G141" s="385"/>
      <c r="H141" s="385"/>
      <c r="I141" s="93" t="str">
        <f>Просчет!J206</f>
        <v>м²</v>
      </c>
      <c r="J141" s="93">
        <f>ROUND(Просчет!K206,3)</f>
        <v>0</v>
      </c>
      <c r="K141" s="110">
        <f>Просчет!M206</f>
        <v>5490</v>
      </c>
      <c r="L141" s="111">
        <f t="shared" si="1"/>
        <v>0</v>
      </c>
    </row>
    <row r="142" spans="2:12" x14ac:dyDescent="0.2">
      <c r="B142" s="93">
        <f>SUBTOTAL(103,$C$21:$C142)</f>
        <v>122</v>
      </c>
      <c r="C142" s="385" t="str">
        <f>Просчет!B207</f>
        <v>Глянцеве покриття з патиною 22 мм, фрез. фасад кат.2</v>
      </c>
      <c r="D142" s="385"/>
      <c r="E142" s="385"/>
      <c r="F142" s="385"/>
      <c r="G142" s="385"/>
      <c r="H142" s="385"/>
      <c r="I142" s="93" t="str">
        <f>Просчет!J207</f>
        <v>м²</v>
      </c>
      <c r="J142" s="93">
        <f>ROUND(Просчет!K207,3)</f>
        <v>0</v>
      </c>
      <c r="K142" s="110">
        <f>Просчет!M207</f>
        <v>5910</v>
      </c>
      <c r="L142" s="111">
        <f t="shared" si="1"/>
        <v>0</v>
      </c>
    </row>
    <row r="143" spans="2:12" x14ac:dyDescent="0.2">
      <c r="B143" s="93">
        <f>SUBTOTAL(103,$C$21:$C143)</f>
        <v>123</v>
      </c>
      <c r="C143" s="385" t="str">
        <f>Просчет!B208</f>
        <v>Глянцеве покриття з патиною покриття другої сторони кат.1</v>
      </c>
      <c r="D143" s="385"/>
      <c r="E143" s="385"/>
      <c r="F143" s="385"/>
      <c r="G143" s="385"/>
      <c r="H143" s="385"/>
      <c r="I143" s="93" t="str">
        <f>Просчет!J208</f>
        <v>м²</v>
      </c>
      <c r="J143" s="93">
        <f>ROUND(Просчет!K208,3)</f>
        <v>0</v>
      </c>
      <c r="K143" s="110">
        <f>Просчет!M208</f>
        <v>2360</v>
      </c>
      <c r="L143" s="111">
        <f t="shared" si="1"/>
        <v>0</v>
      </c>
    </row>
    <row r="144" spans="2:12" x14ac:dyDescent="0.2">
      <c r="B144" s="93">
        <f>SUBTOTAL(103,$C$21:$C144)</f>
        <v>124</v>
      </c>
      <c r="C144" s="385" t="str">
        <f>Просчет!B209</f>
        <v>Глянцеве покриття з патиною покриття другої сторони кат.2</v>
      </c>
      <c r="D144" s="385"/>
      <c r="E144" s="385"/>
      <c r="F144" s="385"/>
      <c r="G144" s="385"/>
      <c r="H144" s="385"/>
      <c r="I144" s="93" t="str">
        <f>Просчет!J209</f>
        <v>м²</v>
      </c>
      <c r="J144" s="93">
        <f>ROUND(Просчет!K209,3)</f>
        <v>0</v>
      </c>
      <c r="K144" s="110">
        <f>Просчет!M209</f>
        <v>2570</v>
      </c>
      <c r="L144" s="111">
        <f t="shared" si="1"/>
        <v>0</v>
      </c>
    </row>
    <row r="145" spans="2:12" x14ac:dyDescent="0.2">
      <c r="B145" s="93">
        <f>SUBTOTAL(103,$C$21:$C145)</f>
        <v>125</v>
      </c>
      <c r="C145" s="385" t="str">
        <f>Просчет!B210</f>
        <v>Матовий DECAPE 16 мм, фрез. фасад кат.1</v>
      </c>
      <c r="D145" s="385"/>
      <c r="E145" s="385"/>
      <c r="F145" s="385"/>
      <c r="G145" s="385"/>
      <c r="H145" s="385"/>
      <c r="I145" s="93" t="str">
        <f>Просчет!J210</f>
        <v>м²</v>
      </c>
      <c r="J145" s="93">
        <f>ROUND(Просчет!K210,3)</f>
        <v>0</v>
      </c>
      <c r="K145" s="110">
        <f>Просчет!M210</f>
        <v>4370</v>
      </c>
      <c r="L145" s="111">
        <f t="shared" si="1"/>
        <v>0</v>
      </c>
    </row>
    <row r="146" spans="2:12" x14ac:dyDescent="0.2">
      <c r="B146" s="93">
        <f>SUBTOTAL(103,$C$21:$C146)</f>
        <v>126</v>
      </c>
      <c r="C146" s="385" t="str">
        <f>Просчет!B211</f>
        <v>Матовий DECAPE 16 мм, фрез. фасад кат.2</v>
      </c>
      <c r="D146" s="385"/>
      <c r="E146" s="385"/>
      <c r="F146" s="385"/>
      <c r="G146" s="385"/>
      <c r="H146" s="385"/>
      <c r="I146" s="93" t="str">
        <f>Просчет!J211</f>
        <v>м²</v>
      </c>
      <c r="J146" s="93">
        <f>ROUND(Просчет!K211,3)</f>
        <v>0</v>
      </c>
      <c r="K146" s="110">
        <f>Просчет!M211</f>
        <v>4790</v>
      </c>
      <c r="L146" s="111">
        <f t="shared" si="1"/>
        <v>0</v>
      </c>
    </row>
    <row r="147" spans="2:12" x14ac:dyDescent="0.2">
      <c r="B147" s="93">
        <f>SUBTOTAL(103,$C$21:$C147)</f>
        <v>127</v>
      </c>
      <c r="C147" s="385" t="str">
        <f>Просчет!B212</f>
        <v>Матовий DECAPE 19 мм, фрез. фасад кат.1</v>
      </c>
      <c r="D147" s="385"/>
      <c r="E147" s="385"/>
      <c r="F147" s="385"/>
      <c r="G147" s="385"/>
      <c r="H147" s="385"/>
      <c r="I147" s="93" t="str">
        <f>Просчет!J212</f>
        <v>м²</v>
      </c>
      <c r="J147" s="93">
        <f>ROUND(Просчет!K212,3)</f>
        <v>0</v>
      </c>
      <c r="K147" s="110">
        <f>Просчет!M212</f>
        <v>4440</v>
      </c>
      <c r="L147" s="111">
        <f t="shared" si="1"/>
        <v>0</v>
      </c>
    </row>
    <row r="148" spans="2:12" x14ac:dyDescent="0.2">
      <c r="B148" s="93">
        <f>SUBTOTAL(103,$C$21:$C148)</f>
        <v>128</v>
      </c>
      <c r="C148" s="385" t="str">
        <f>Просчет!B213</f>
        <v>Матовий DECAPE 19 мм, фрез. фасад кат.2</v>
      </c>
      <c r="D148" s="385"/>
      <c r="E148" s="385"/>
      <c r="F148" s="385"/>
      <c r="G148" s="385"/>
      <c r="H148" s="385"/>
      <c r="I148" s="93" t="str">
        <f>Просчет!J213</f>
        <v>м²</v>
      </c>
      <c r="J148" s="93">
        <f>ROUND(Просчет!K213,3)</f>
        <v>0</v>
      </c>
      <c r="K148" s="110">
        <f>Просчет!M213</f>
        <v>4860</v>
      </c>
      <c r="L148" s="111">
        <f t="shared" si="1"/>
        <v>0</v>
      </c>
    </row>
    <row r="149" spans="2:12" x14ac:dyDescent="0.2">
      <c r="B149" s="93">
        <f>SUBTOTAL(103,$C$21:$C149)</f>
        <v>129</v>
      </c>
      <c r="C149" s="385" t="str">
        <f>Просчет!B214</f>
        <v>Матовий DECAPE 22 мм, фрез. фасад кат.1</v>
      </c>
      <c r="D149" s="385"/>
      <c r="E149" s="385"/>
      <c r="F149" s="385"/>
      <c r="G149" s="385"/>
      <c r="H149" s="385"/>
      <c r="I149" s="93" t="str">
        <f>Просчет!J214</f>
        <v>м²</v>
      </c>
      <c r="J149" s="93">
        <f>ROUND(Просчет!K214,3)</f>
        <v>0</v>
      </c>
      <c r="K149" s="110">
        <f>Просчет!M214</f>
        <v>5140</v>
      </c>
      <c r="L149" s="111">
        <f t="shared" si="1"/>
        <v>0</v>
      </c>
    </row>
    <row r="150" spans="2:12" x14ac:dyDescent="0.2">
      <c r="B150" s="93">
        <f>SUBTOTAL(103,$C$21:$C150)</f>
        <v>130</v>
      </c>
      <c r="C150" s="385" t="str">
        <f>Просчет!B215</f>
        <v>Матовий DECAPE 22 мм, фрез. фасад кат.2</v>
      </c>
      <c r="D150" s="385"/>
      <c r="E150" s="385"/>
      <c r="F150" s="385"/>
      <c r="G150" s="385"/>
      <c r="H150" s="385"/>
      <c r="I150" s="93" t="str">
        <f>Просчет!J215</f>
        <v>м²</v>
      </c>
      <c r="J150" s="93">
        <f>ROUND(Просчет!K215,3)</f>
        <v>0</v>
      </c>
      <c r="K150" s="110">
        <f>Просчет!M215</f>
        <v>5560</v>
      </c>
      <c r="L150" s="111">
        <f t="shared" ref="L150:L213" si="2">J150*K150</f>
        <v>0</v>
      </c>
    </row>
    <row r="151" spans="2:12" x14ac:dyDescent="0.2">
      <c r="B151" s="93">
        <f>SUBTOTAL(103,$C$21:$C151)</f>
        <v>131</v>
      </c>
      <c r="C151" s="385" t="str">
        <f>Просчет!B216</f>
        <v>Матовий DECAPE покриття другої сторони кат.1</v>
      </c>
      <c r="D151" s="385"/>
      <c r="E151" s="385"/>
      <c r="F151" s="385"/>
      <c r="G151" s="385"/>
      <c r="H151" s="385"/>
      <c r="I151" s="93" t="str">
        <f>Просчет!J216</f>
        <v>м²</v>
      </c>
      <c r="J151" s="93">
        <f>ROUND(Просчет!K216,3)</f>
        <v>0</v>
      </c>
      <c r="K151" s="110">
        <f>Просчет!M216</f>
        <v>2185</v>
      </c>
      <c r="L151" s="111">
        <f t="shared" si="2"/>
        <v>0</v>
      </c>
    </row>
    <row r="152" spans="2:12" x14ac:dyDescent="0.2">
      <c r="B152" s="93">
        <f>SUBTOTAL(103,$C$21:$C152)</f>
        <v>132</v>
      </c>
      <c r="C152" s="385" t="str">
        <f>Просчет!B217</f>
        <v>Матовий DECAPE покриття другої сторони кат.2</v>
      </c>
      <c r="D152" s="385"/>
      <c r="E152" s="385"/>
      <c r="F152" s="385"/>
      <c r="G152" s="385"/>
      <c r="H152" s="385"/>
      <c r="I152" s="93" t="str">
        <f>Просчет!J217</f>
        <v>м²</v>
      </c>
      <c r="J152" s="93">
        <f>ROUND(Просчет!K217,3)</f>
        <v>0</v>
      </c>
      <c r="K152" s="110">
        <f>Просчет!M217</f>
        <v>2395</v>
      </c>
      <c r="L152" s="111">
        <f t="shared" si="2"/>
        <v>0</v>
      </c>
    </row>
    <row r="153" spans="2:12" x14ac:dyDescent="0.2">
      <c r="B153" s="93">
        <f>SUBTOTAL(103,$C$21:$C153)</f>
        <v>133</v>
      </c>
      <c r="C153" s="385" t="str">
        <f>Просчет!B218</f>
        <v>Глянцевий DECAPE 16 мм, фрез. Фасад кат.1</v>
      </c>
      <c r="D153" s="385"/>
      <c r="E153" s="385"/>
      <c r="F153" s="385"/>
      <c r="G153" s="385"/>
      <c r="H153" s="385"/>
      <c r="I153" s="93" t="str">
        <f>Просчет!J218</f>
        <v>м²</v>
      </c>
      <c r="J153" s="93">
        <f>ROUND(Просчет!K218,3)</f>
        <v>0</v>
      </c>
      <c r="K153" s="110">
        <f>Просчет!M218</f>
        <v>5350</v>
      </c>
      <c r="L153" s="111">
        <f t="shared" si="2"/>
        <v>0</v>
      </c>
    </row>
    <row r="154" spans="2:12" x14ac:dyDescent="0.2">
      <c r="B154" s="93">
        <f>SUBTOTAL(103,$C$21:$C154)</f>
        <v>134</v>
      </c>
      <c r="C154" s="385" t="str">
        <f>Просчет!B219</f>
        <v>Глянцевий DECAPE 16 мм, фрез. Фасад кат.2</v>
      </c>
      <c r="D154" s="385"/>
      <c r="E154" s="385"/>
      <c r="F154" s="385"/>
      <c r="G154" s="385"/>
      <c r="H154" s="385"/>
      <c r="I154" s="93" t="str">
        <f>Просчет!J219</f>
        <v>м²</v>
      </c>
      <c r="J154" s="93">
        <f>ROUND(Просчет!K219,3)</f>
        <v>0</v>
      </c>
      <c r="K154" s="110">
        <f>Просчет!M219</f>
        <v>5770</v>
      </c>
      <c r="L154" s="111">
        <f t="shared" si="2"/>
        <v>0</v>
      </c>
    </row>
    <row r="155" spans="2:12" x14ac:dyDescent="0.2">
      <c r="B155" s="93">
        <f>SUBTOTAL(103,$C$21:$C155)</f>
        <v>135</v>
      </c>
      <c r="C155" s="385" t="str">
        <f>Просчет!B220</f>
        <v>Глянцевий DECAPE 19 мм, фрез. фасад кат.1</v>
      </c>
      <c r="D155" s="385"/>
      <c r="E155" s="385"/>
      <c r="F155" s="385"/>
      <c r="G155" s="385"/>
      <c r="H155" s="385"/>
      <c r="I155" s="93" t="str">
        <f>Просчет!J220</f>
        <v>м²</v>
      </c>
      <c r="J155" s="93">
        <f>ROUND(Просчет!K220,3)</f>
        <v>0</v>
      </c>
      <c r="K155" s="110">
        <f>Просчет!M220</f>
        <v>5420</v>
      </c>
      <c r="L155" s="111">
        <f t="shared" si="2"/>
        <v>0</v>
      </c>
    </row>
    <row r="156" spans="2:12" x14ac:dyDescent="0.2">
      <c r="B156" s="93">
        <f>SUBTOTAL(103,$C$21:$C156)</f>
        <v>136</v>
      </c>
      <c r="C156" s="385" t="str">
        <f>Просчет!B221</f>
        <v>Глянцевий DECAPE 19 мм, фрез. фасад кат.2</v>
      </c>
      <c r="D156" s="385"/>
      <c r="E156" s="385"/>
      <c r="F156" s="385"/>
      <c r="G156" s="385"/>
      <c r="H156" s="385"/>
      <c r="I156" s="93" t="str">
        <f>Просчет!J221</f>
        <v>м²</v>
      </c>
      <c r="J156" s="93">
        <f>ROUND(Просчет!K221,3)</f>
        <v>0</v>
      </c>
      <c r="K156" s="110">
        <f>Просчет!M221</f>
        <v>5840</v>
      </c>
      <c r="L156" s="111">
        <f t="shared" si="2"/>
        <v>0</v>
      </c>
    </row>
    <row r="157" spans="2:12" x14ac:dyDescent="0.2">
      <c r="B157" s="93">
        <f>SUBTOTAL(103,$C$21:$C157)</f>
        <v>137</v>
      </c>
      <c r="C157" s="385" t="str">
        <f>Просчет!B222</f>
        <v>Глянцевий DECAPE 22 мм, фрез. фасад кат.1</v>
      </c>
      <c r="D157" s="385"/>
      <c r="E157" s="385"/>
      <c r="F157" s="385"/>
      <c r="G157" s="385"/>
      <c r="H157" s="385"/>
      <c r="I157" s="93" t="str">
        <f>Просчет!J222</f>
        <v>м²</v>
      </c>
      <c r="J157" s="93">
        <f>ROUND(Просчет!K222,3)</f>
        <v>0</v>
      </c>
      <c r="K157" s="110">
        <f>Просчет!M222</f>
        <v>6120</v>
      </c>
      <c r="L157" s="111">
        <f t="shared" si="2"/>
        <v>0</v>
      </c>
    </row>
    <row r="158" spans="2:12" x14ac:dyDescent="0.2">
      <c r="B158" s="93">
        <f>SUBTOTAL(103,$C$21:$C158)</f>
        <v>138</v>
      </c>
      <c r="C158" s="385" t="str">
        <f>Просчет!B223</f>
        <v>Глянцевий DECAPE 22 мм, фрез. фасад кат.2</v>
      </c>
      <c r="D158" s="385"/>
      <c r="E158" s="385"/>
      <c r="F158" s="385"/>
      <c r="G158" s="385"/>
      <c r="H158" s="385"/>
      <c r="I158" s="93" t="str">
        <f>Просчет!J223</f>
        <v>м²</v>
      </c>
      <c r="J158" s="93">
        <f>ROUND(Просчет!K223,3)</f>
        <v>0</v>
      </c>
      <c r="K158" s="110">
        <f>Просчет!M223</f>
        <v>6540</v>
      </c>
      <c r="L158" s="111">
        <f t="shared" si="2"/>
        <v>0</v>
      </c>
    </row>
    <row r="159" spans="2:12" x14ac:dyDescent="0.2">
      <c r="B159" s="93">
        <f>SUBTOTAL(103,$C$21:$C159)</f>
        <v>139</v>
      </c>
      <c r="C159" s="385" t="str">
        <f>Просчет!B224</f>
        <v>Глянцевий DECAPE покриття другої сторони кат.1</v>
      </c>
      <c r="D159" s="385"/>
      <c r="E159" s="385"/>
      <c r="F159" s="385"/>
      <c r="G159" s="385"/>
      <c r="H159" s="385"/>
      <c r="I159" s="93" t="str">
        <f>Просчет!J224</f>
        <v>м²</v>
      </c>
      <c r="J159" s="93">
        <f>ROUND(Просчет!K224,3)</f>
        <v>0</v>
      </c>
      <c r="K159" s="110">
        <f>Просчет!M224</f>
        <v>2675</v>
      </c>
      <c r="L159" s="111">
        <f t="shared" si="2"/>
        <v>0</v>
      </c>
    </row>
    <row r="160" spans="2:12" x14ac:dyDescent="0.2">
      <c r="B160" s="93">
        <f>SUBTOTAL(103,$C$21:$C160)</f>
        <v>140</v>
      </c>
      <c r="C160" s="385" t="str">
        <f>Просчет!B225</f>
        <v>Глянцевий DECAPE покриття другої сторони кат.2</v>
      </c>
      <c r="D160" s="385"/>
      <c r="E160" s="385"/>
      <c r="F160" s="385"/>
      <c r="G160" s="385"/>
      <c r="H160" s="385"/>
      <c r="I160" s="93" t="str">
        <f>Просчет!J225</f>
        <v>м²</v>
      </c>
      <c r="J160" s="93">
        <f>ROUND(Просчет!K225,3)</f>
        <v>0</v>
      </c>
      <c r="K160" s="110">
        <f>Просчет!M225</f>
        <v>2885</v>
      </c>
      <c r="L160" s="111">
        <f t="shared" si="2"/>
        <v>0</v>
      </c>
    </row>
    <row r="161" spans="2:12" x14ac:dyDescent="0.2">
      <c r="B161" s="93">
        <f>SUBTOTAL(103,$C$21:$C161)</f>
        <v>141</v>
      </c>
      <c r="C161" s="385" t="str">
        <f>Просчет!B226</f>
        <v>Матова фарба + патина+матовий лак (відкрита пора), 16 мм кат.1</v>
      </c>
      <c r="D161" s="385"/>
      <c r="E161" s="385"/>
      <c r="F161" s="385"/>
      <c r="G161" s="385"/>
      <c r="H161" s="385"/>
      <c r="I161" s="93" t="str">
        <f>Просчет!J226</f>
        <v>м²</v>
      </c>
      <c r="J161" s="93">
        <f>ROUND(Просчет!K226,3)</f>
        <v>0</v>
      </c>
      <c r="K161" s="110">
        <f>Просчет!M226</f>
        <v>7180</v>
      </c>
      <c r="L161" s="111">
        <f t="shared" si="2"/>
        <v>0</v>
      </c>
    </row>
    <row r="162" spans="2:12" x14ac:dyDescent="0.2">
      <c r="B162" s="93">
        <f>SUBTOTAL(103,$C$21:$C162)</f>
        <v>142</v>
      </c>
      <c r="C162" s="385" t="str">
        <f>Просчет!B227</f>
        <v>Матова фарба + патина+матовий лак (відкрита пора), 16 мм кат.2</v>
      </c>
      <c r="D162" s="385"/>
      <c r="E162" s="385"/>
      <c r="F162" s="385"/>
      <c r="G162" s="385"/>
      <c r="H162" s="385"/>
      <c r="I162" s="93" t="str">
        <f>Просчет!J227</f>
        <v>м²</v>
      </c>
      <c r="J162" s="93">
        <f>ROUND(Просчет!K227,3)</f>
        <v>0</v>
      </c>
      <c r="K162" s="110">
        <f>Просчет!M227</f>
        <v>8530</v>
      </c>
      <c r="L162" s="111">
        <f t="shared" si="2"/>
        <v>0</v>
      </c>
    </row>
    <row r="163" spans="2:12" x14ac:dyDescent="0.2">
      <c r="B163" s="93">
        <f>SUBTOTAL(103,$C$21:$C163)</f>
        <v>143</v>
      </c>
      <c r="C163" s="385" t="str">
        <f>Просчет!B228</f>
        <v>Матова фарба + патина+матовий лак (відкрита пора), 19 мм кат.1</v>
      </c>
      <c r="D163" s="385"/>
      <c r="E163" s="385"/>
      <c r="F163" s="385"/>
      <c r="G163" s="385"/>
      <c r="H163" s="385"/>
      <c r="I163" s="93" t="str">
        <f>Просчет!J228</f>
        <v>м²</v>
      </c>
      <c r="J163" s="93">
        <f>ROUND(Просчет!K228,3)</f>
        <v>0</v>
      </c>
      <c r="K163" s="110">
        <f>Просчет!M228</f>
        <v>7250</v>
      </c>
      <c r="L163" s="111">
        <f t="shared" si="2"/>
        <v>0</v>
      </c>
    </row>
    <row r="164" spans="2:12" x14ac:dyDescent="0.2">
      <c r="B164" s="93">
        <f>SUBTOTAL(103,$C$21:$C164)</f>
        <v>144</v>
      </c>
      <c r="C164" s="385" t="str">
        <f>Просчет!B229</f>
        <v>Матова фарба + патина+матовий лак (відкрита пора), 19 мм кат.2</v>
      </c>
      <c r="D164" s="385"/>
      <c r="E164" s="385"/>
      <c r="F164" s="385"/>
      <c r="G164" s="385"/>
      <c r="H164" s="385"/>
      <c r="I164" s="93" t="str">
        <f>Просчет!J229</f>
        <v>м²</v>
      </c>
      <c r="J164" s="93">
        <f>ROUND(Просчет!K229,3)</f>
        <v>0</v>
      </c>
      <c r="K164" s="110">
        <f>Просчет!M229</f>
        <v>8600</v>
      </c>
      <c r="L164" s="111">
        <f t="shared" si="2"/>
        <v>0</v>
      </c>
    </row>
    <row r="165" spans="2:12" x14ac:dyDescent="0.2">
      <c r="B165" s="93">
        <f>SUBTOTAL(103,$C$21:$C165)</f>
        <v>145</v>
      </c>
      <c r="C165" s="385" t="str">
        <f>Просчет!B230</f>
        <v>Матова фарба + патина+матовий лак (відкрита пора), 22 мм кат.1</v>
      </c>
      <c r="D165" s="385"/>
      <c r="E165" s="385"/>
      <c r="F165" s="385"/>
      <c r="G165" s="385"/>
      <c r="H165" s="385"/>
      <c r="I165" s="93" t="str">
        <f>Просчет!J230</f>
        <v>м²</v>
      </c>
      <c r="J165" s="93">
        <f>ROUND(Просчет!K230,3)</f>
        <v>0</v>
      </c>
      <c r="K165" s="110">
        <f>Просчет!M230</f>
        <v>7950</v>
      </c>
      <c r="L165" s="111">
        <f t="shared" si="2"/>
        <v>0</v>
      </c>
    </row>
    <row r="166" spans="2:12" x14ac:dyDescent="0.2">
      <c r="B166" s="93">
        <f>SUBTOTAL(103,$C$21:$C166)</f>
        <v>146</v>
      </c>
      <c r="C166" s="385" t="str">
        <f>Просчет!B231</f>
        <v>Матова фарба + патина+матовий лак (відкрита пора), 22 мм кат.2</v>
      </c>
      <c r="D166" s="385"/>
      <c r="E166" s="385"/>
      <c r="F166" s="385"/>
      <c r="G166" s="385"/>
      <c r="H166" s="385"/>
      <c r="I166" s="93" t="str">
        <f>Просчет!J231</f>
        <v>м²</v>
      </c>
      <c r="J166" s="93">
        <f>ROUND(Просчет!K231,3)</f>
        <v>0</v>
      </c>
      <c r="K166" s="110">
        <f>Просчет!M231</f>
        <v>9300</v>
      </c>
      <c r="L166" s="111">
        <f t="shared" si="2"/>
        <v>0</v>
      </c>
    </row>
    <row r="167" spans="2:12" x14ac:dyDescent="0.2">
      <c r="B167" s="93">
        <f>SUBTOTAL(103,$C$21:$C167)</f>
        <v>147</v>
      </c>
      <c r="C167" s="385" t="str">
        <f>Просчет!B232</f>
        <v>Матова фарба + патина+матовий лак покриття другої сторони кат.1</v>
      </c>
      <c r="D167" s="385"/>
      <c r="E167" s="385"/>
      <c r="F167" s="385"/>
      <c r="G167" s="385"/>
      <c r="H167" s="385"/>
      <c r="I167" s="93" t="str">
        <f>Просчет!J232</f>
        <v>м²</v>
      </c>
      <c r="J167" s="93">
        <f>ROUND(Просчет!K232,3)</f>
        <v>0</v>
      </c>
      <c r="K167" s="110">
        <f>Просчет!M232</f>
        <v>3590</v>
      </c>
      <c r="L167" s="111">
        <f t="shared" si="2"/>
        <v>0</v>
      </c>
    </row>
    <row r="168" spans="2:12" x14ac:dyDescent="0.2">
      <c r="B168" s="93">
        <f>SUBTOTAL(103,$C$21:$C168)</f>
        <v>148</v>
      </c>
      <c r="C168" s="385" t="str">
        <f>Просчет!B233</f>
        <v>Матова фарба + патина+матовий лак покриття другої сторони кат.2</v>
      </c>
      <c r="D168" s="385"/>
      <c r="E168" s="385"/>
      <c r="F168" s="385"/>
      <c r="G168" s="385"/>
      <c r="H168" s="385"/>
      <c r="I168" s="93" t="str">
        <f>Просчет!J233</f>
        <v>м²</v>
      </c>
      <c r="J168" s="93">
        <f>ROUND(Просчет!K233,3)</f>
        <v>0</v>
      </c>
      <c r="K168" s="110">
        <f>Просчет!M233</f>
        <v>4265</v>
      </c>
      <c r="L168" s="111">
        <f t="shared" si="2"/>
        <v>0</v>
      </c>
    </row>
    <row r="169" spans="2:12" x14ac:dyDescent="0.2">
      <c r="B169" s="93">
        <f>SUBTOTAL(103,$C$21:$C169)</f>
        <v>149</v>
      </c>
      <c r="C169" s="385" t="str">
        <f>Просчет!B234</f>
        <v>Тонування+патина+матовий лак (відкрита пора), 16 мм кат.1</v>
      </c>
      <c r="D169" s="385"/>
      <c r="E169" s="385"/>
      <c r="F169" s="385"/>
      <c r="G169" s="385"/>
      <c r="H169" s="385"/>
      <c r="I169" s="93" t="str">
        <f>Просчет!J234</f>
        <v>м²</v>
      </c>
      <c r="J169" s="93">
        <f>ROUND(Просчет!K234,3)</f>
        <v>0</v>
      </c>
      <c r="K169" s="110">
        <f>Просчет!M234</f>
        <v>7670</v>
      </c>
      <c r="L169" s="111">
        <f t="shared" si="2"/>
        <v>0</v>
      </c>
    </row>
    <row r="170" spans="2:12" x14ac:dyDescent="0.2">
      <c r="B170" s="93">
        <f>SUBTOTAL(103,$C$21:$C170)</f>
        <v>150</v>
      </c>
      <c r="C170" s="385" t="str">
        <f>Просчет!B235</f>
        <v>Тонування+патина+матовий лак (відкрита пора), 16 мм кат.2</v>
      </c>
      <c r="D170" s="385"/>
      <c r="E170" s="385"/>
      <c r="F170" s="385"/>
      <c r="G170" s="385"/>
      <c r="H170" s="385"/>
      <c r="I170" s="93" t="str">
        <f>Просчет!J235</f>
        <v>м²</v>
      </c>
      <c r="J170" s="93">
        <f>ROUND(Просчет!K235,3)</f>
        <v>0</v>
      </c>
      <c r="K170" s="110">
        <f>Просчет!M235</f>
        <v>9020</v>
      </c>
      <c r="L170" s="111">
        <f t="shared" si="2"/>
        <v>0</v>
      </c>
    </row>
    <row r="171" spans="2:12" x14ac:dyDescent="0.2">
      <c r="B171" s="93">
        <f>SUBTOTAL(103,$C$21:$C171)</f>
        <v>151</v>
      </c>
      <c r="C171" s="385" t="str">
        <f>Просчет!B236</f>
        <v>Тонування+патина+матовий лак (відкрита пора), 19 мм кат.1</v>
      </c>
      <c r="D171" s="385"/>
      <c r="E171" s="385"/>
      <c r="F171" s="385"/>
      <c r="G171" s="385"/>
      <c r="H171" s="385"/>
      <c r="I171" s="93" t="str">
        <f>Просчет!J236</f>
        <v>м²</v>
      </c>
      <c r="J171" s="93">
        <f>ROUND(Просчет!K236,3)</f>
        <v>0</v>
      </c>
      <c r="K171" s="110">
        <f>Просчет!M236</f>
        <v>7740</v>
      </c>
      <c r="L171" s="111">
        <f t="shared" si="2"/>
        <v>0</v>
      </c>
    </row>
    <row r="172" spans="2:12" x14ac:dyDescent="0.2">
      <c r="B172" s="93">
        <f>SUBTOTAL(103,$C$21:$C172)</f>
        <v>152</v>
      </c>
      <c r="C172" s="385" t="str">
        <f>Просчет!B237</f>
        <v>Тонування+патина+матовий лак (відкрита пора), 19 мм кат.2</v>
      </c>
      <c r="D172" s="385"/>
      <c r="E172" s="385"/>
      <c r="F172" s="385"/>
      <c r="G172" s="385"/>
      <c r="H172" s="385"/>
      <c r="I172" s="93" t="str">
        <f>Просчет!J237</f>
        <v>м²</v>
      </c>
      <c r="J172" s="93">
        <f>ROUND(Просчет!K237,3)</f>
        <v>0</v>
      </c>
      <c r="K172" s="110">
        <f>Просчет!M237</f>
        <v>9090</v>
      </c>
      <c r="L172" s="111">
        <f t="shared" si="2"/>
        <v>0</v>
      </c>
    </row>
    <row r="173" spans="2:12" x14ac:dyDescent="0.2">
      <c r="B173" s="93">
        <f>SUBTOTAL(103,$C$21:$C173)</f>
        <v>153</v>
      </c>
      <c r="C173" s="385" t="str">
        <f>Просчет!B238</f>
        <v>Тонування+патина+матовий лак (відкрита пора), 22 мм кат.1</v>
      </c>
      <c r="D173" s="385"/>
      <c r="E173" s="385"/>
      <c r="F173" s="385"/>
      <c r="G173" s="385"/>
      <c r="H173" s="385"/>
      <c r="I173" s="93" t="str">
        <f>Просчет!J238</f>
        <v>м²</v>
      </c>
      <c r="J173" s="93">
        <f>ROUND(Просчет!K238,3)</f>
        <v>0</v>
      </c>
      <c r="K173" s="110">
        <f>Просчет!M238</f>
        <v>8440</v>
      </c>
      <c r="L173" s="111">
        <f t="shared" si="2"/>
        <v>0</v>
      </c>
    </row>
    <row r="174" spans="2:12" x14ac:dyDescent="0.2">
      <c r="B174" s="93">
        <f>SUBTOTAL(103,$C$21:$C174)</f>
        <v>154</v>
      </c>
      <c r="C174" s="385" t="str">
        <f>Просчет!B239</f>
        <v>Тонування+патина+матовий лак (відкрита пора), 22 мм кат.2</v>
      </c>
      <c r="D174" s="385"/>
      <c r="E174" s="385"/>
      <c r="F174" s="385"/>
      <c r="G174" s="385"/>
      <c r="H174" s="385"/>
      <c r="I174" s="93" t="str">
        <f>Просчет!J239</f>
        <v>м²</v>
      </c>
      <c r="J174" s="93">
        <f>ROUND(Просчет!K239,3)</f>
        <v>0</v>
      </c>
      <c r="K174" s="110">
        <f>Просчет!M239</f>
        <v>9790</v>
      </c>
      <c r="L174" s="111">
        <f t="shared" si="2"/>
        <v>0</v>
      </c>
    </row>
    <row r="175" spans="2:12" x14ac:dyDescent="0.2">
      <c r="B175" s="93">
        <f>SUBTOTAL(103,$C$21:$C175)</f>
        <v>155</v>
      </c>
      <c r="C175" s="385" t="str">
        <f>Просчет!B240</f>
        <v>Тонування+патина+матовий лак (відкрита пора) покриття другої сторони кат.1</v>
      </c>
      <c r="D175" s="385"/>
      <c r="E175" s="385"/>
      <c r="F175" s="385"/>
      <c r="G175" s="385"/>
      <c r="H175" s="385"/>
      <c r="I175" s="93" t="str">
        <f>Просчет!J240</f>
        <v>м²</v>
      </c>
      <c r="J175" s="93">
        <f>ROUND(Просчет!K240,3)</f>
        <v>0</v>
      </c>
      <c r="K175" s="110">
        <f>Просчет!M240</f>
        <v>3835</v>
      </c>
      <c r="L175" s="111">
        <f t="shared" si="2"/>
        <v>0</v>
      </c>
    </row>
    <row r="176" spans="2:12" x14ac:dyDescent="0.2">
      <c r="B176" s="93">
        <f>SUBTOTAL(103,$C$21:$C176)</f>
        <v>156</v>
      </c>
      <c r="C176" s="385" t="str">
        <f>Просчет!B241</f>
        <v>Тонування+патина+матовий лак (відкрита пора) покриття другої сторони кат.2</v>
      </c>
      <c r="D176" s="385"/>
      <c r="E176" s="385"/>
      <c r="F176" s="385"/>
      <c r="G176" s="385"/>
      <c r="H176" s="385"/>
      <c r="I176" s="93" t="str">
        <f>Просчет!J241</f>
        <v>м²</v>
      </c>
      <c r="J176" s="93">
        <f>ROUND(Просчет!K241,3)</f>
        <v>0</v>
      </c>
      <c r="K176" s="110">
        <f>Просчет!M241</f>
        <v>4510</v>
      </c>
      <c r="L176" s="111">
        <f t="shared" si="2"/>
        <v>0</v>
      </c>
    </row>
    <row r="177" spans="2:12" x14ac:dyDescent="0.2">
      <c r="B177" s="93">
        <f>SUBTOTAL(103,$C$21:$C177)</f>
        <v>157</v>
      </c>
      <c r="C177" s="385" t="str">
        <f>Просчет!B242</f>
        <v>Матова фарба відкрита пора, 16 мм кат.1</v>
      </c>
      <c r="D177" s="385"/>
      <c r="E177" s="385"/>
      <c r="F177" s="385"/>
      <c r="G177" s="385"/>
      <c r="H177" s="385"/>
      <c r="I177" s="93" t="str">
        <f>Просчет!J242</f>
        <v>м²</v>
      </c>
      <c r="J177" s="93">
        <f>ROUND(Просчет!K242,3)</f>
        <v>0</v>
      </c>
      <c r="K177" s="110">
        <f>Просчет!M242</f>
        <v>6010</v>
      </c>
      <c r="L177" s="111">
        <f t="shared" si="2"/>
        <v>0</v>
      </c>
    </row>
    <row r="178" spans="2:12" x14ac:dyDescent="0.2">
      <c r="B178" s="93">
        <f>SUBTOTAL(103,$C$21:$C178)</f>
        <v>158</v>
      </c>
      <c r="C178" s="385" t="str">
        <f>Просчет!B243</f>
        <v>Матова фарба відкрита пора, 16 мм кат.2</v>
      </c>
      <c r="D178" s="385"/>
      <c r="E178" s="385"/>
      <c r="F178" s="385"/>
      <c r="G178" s="385"/>
      <c r="H178" s="385"/>
      <c r="I178" s="93" t="str">
        <f>Просчет!J243</f>
        <v>м²</v>
      </c>
      <c r="J178" s="93">
        <f>ROUND(Просчет!K243,3)</f>
        <v>0</v>
      </c>
      <c r="K178" s="110">
        <f>Просчет!M243</f>
        <v>7360</v>
      </c>
      <c r="L178" s="111">
        <f t="shared" si="2"/>
        <v>0</v>
      </c>
    </row>
    <row r="179" spans="2:12" x14ac:dyDescent="0.2">
      <c r="B179" s="93">
        <f>SUBTOTAL(103,$C$21:$C179)</f>
        <v>159</v>
      </c>
      <c r="C179" s="385" t="str">
        <f>Просчет!B244</f>
        <v>Матова фарба відкрита пора, 19 мм кат.1</v>
      </c>
      <c r="D179" s="385"/>
      <c r="E179" s="385"/>
      <c r="F179" s="385"/>
      <c r="G179" s="385"/>
      <c r="H179" s="385"/>
      <c r="I179" s="93" t="str">
        <f>Просчет!J244</f>
        <v>м²</v>
      </c>
      <c r="J179" s="93">
        <f>ROUND(Просчет!K244,3)</f>
        <v>0</v>
      </c>
      <c r="K179" s="110">
        <f>Просчет!M244</f>
        <v>6080</v>
      </c>
      <c r="L179" s="111">
        <f t="shared" si="2"/>
        <v>0</v>
      </c>
    </row>
    <row r="180" spans="2:12" x14ac:dyDescent="0.2">
      <c r="B180" s="93">
        <f>SUBTOTAL(103,$C$21:$C180)</f>
        <v>160</v>
      </c>
      <c r="C180" s="385" t="str">
        <f>Просчет!B245</f>
        <v>Матова фарба відкрита пора, 19 мм кат.2</v>
      </c>
      <c r="D180" s="385"/>
      <c r="E180" s="385"/>
      <c r="F180" s="385"/>
      <c r="G180" s="385"/>
      <c r="H180" s="385"/>
      <c r="I180" s="93" t="str">
        <f>Просчет!J245</f>
        <v>м²</v>
      </c>
      <c r="J180" s="93">
        <f>ROUND(Просчет!K245,3)</f>
        <v>0</v>
      </c>
      <c r="K180" s="110">
        <f>Просчет!M245</f>
        <v>7430</v>
      </c>
      <c r="L180" s="111">
        <f t="shared" si="2"/>
        <v>0</v>
      </c>
    </row>
    <row r="181" spans="2:12" x14ac:dyDescent="0.2">
      <c r="B181" s="93">
        <f>SUBTOTAL(103,$C$21:$C181)</f>
        <v>161</v>
      </c>
      <c r="C181" s="385" t="str">
        <f>Просчет!B246</f>
        <v>Матова фарба відкрита пора, 22мм кат.1</v>
      </c>
      <c r="D181" s="385"/>
      <c r="E181" s="385"/>
      <c r="F181" s="385"/>
      <c r="G181" s="385"/>
      <c r="H181" s="385"/>
      <c r="I181" s="93" t="str">
        <f>Просчет!J246</f>
        <v>м²</v>
      </c>
      <c r="J181" s="93">
        <f>ROUND(Просчет!K246,3)</f>
        <v>0</v>
      </c>
      <c r="K181" s="110">
        <f>Просчет!M246</f>
        <v>6780</v>
      </c>
      <c r="L181" s="111">
        <f t="shared" si="2"/>
        <v>0</v>
      </c>
    </row>
    <row r="182" spans="2:12" x14ac:dyDescent="0.2">
      <c r="B182" s="93">
        <f>SUBTOTAL(103,$C$21:$C182)</f>
        <v>162</v>
      </c>
      <c r="C182" s="385" t="str">
        <f>Просчет!B247</f>
        <v>Матова фарба відкрита пора, 22 мм кат.2</v>
      </c>
      <c r="D182" s="385"/>
      <c r="E182" s="385"/>
      <c r="F182" s="385"/>
      <c r="G182" s="385"/>
      <c r="H182" s="385"/>
      <c r="I182" s="93" t="str">
        <f>Просчет!J247</f>
        <v>м²</v>
      </c>
      <c r="J182" s="93">
        <f>ROUND(Просчет!K247,3)</f>
        <v>0</v>
      </c>
      <c r="K182" s="110">
        <f>Просчет!M247</f>
        <v>8130</v>
      </c>
      <c r="L182" s="111">
        <f t="shared" si="2"/>
        <v>0</v>
      </c>
    </row>
    <row r="183" spans="2:12" x14ac:dyDescent="0.2">
      <c r="B183" s="93">
        <f>SUBTOTAL(103,$C$21:$C183)</f>
        <v>163</v>
      </c>
      <c r="C183" s="385" t="str">
        <f>Просчет!B248</f>
        <v>Матова фарба відкрита пора, покриття другої сторони кат.1</v>
      </c>
      <c r="D183" s="385"/>
      <c r="E183" s="385"/>
      <c r="F183" s="385"/>
      <c r="G183" s="385"/>
      <c r="H183" s="385"/>
      <c r="I183" s="93" t="str">
        <f>Просчет!J248</f>
        <v>м²</v>
      </c>
      <c r="J183" s="93">
        <f>ROUND(Просчет!K248,3)</f>
        <v>0</v>
      </c>
      <c r="K183" s="110">
        <f>Просчет!M248</f>
        <v>3005</v>
      </c>
      <c r="L183" s="111">
        <f t="shared" si="2"/>
        <v>0</v>
      </c>
    </row>
    <row r="184" spans="2:12" x14ac:dyDescent="0.2">
      <c r="B184" s="93">
        <f>SUBTOTAL(103,$C$21:$C184)</f>
        <v>164</v>
      </c>
      <c r="C184" s="385" t="str">
        <f>Просчет!B249</f>
        <v>Матова фарба відкрита пора, покриття другої сторони кат.2</v>
      </c>
      <c r="D184" s="385"/>
      <c r="E184" s="385"/>
      <c r="F184" s="385"/>
      <c r="G184" s="385"/>
      <c r="H184" s="385"/>
      <c r="I184" s="93" t="str">
        <f>Просчет!J249</f>
        <v>м²</v>
      </c>
      <c r="J184" s="93">
        <f>ROUND(Просчет!K249,3)</f>
        <v>0</v>
      </c>
      <c r="K184" s="110">
        <f>Просчет!M249</f>
        <v>3680</v>
      </c>
      <c r="L184" s="111">
        <f t="shared" si="2"/>
        <v>0</v>
      </c>
    </row>
    <row r="185" spans="2:12" x14ac:dyDescent="0.2">
      <c r="B185" s="93">
        <f>SUBTOTAL(103,$C$21:$C185)</f>
        <v>165</v>
      </c>
      <c r="C185" s="385" t="str">
        <f>Просчет!B250</f>
        <v>Тонування+матовий лак (відкрита пора), 16 мм кат.1</v>
      </c>
      <c r="D185" s="385"/>
      <c r="E185" s="385"/>
      <c r="F185" s="385"/>
      <c r="G185" s="385"/>
      <c r="H185" s="385"/>
      <c r="I185" s="93" t="str">
        <f>Просчет!J250</f>
        <v>м²</v>
      </c>
      <c r="J185" s="93">
        <f>ROUND(Просчет!K250,3)</f>
        <v>0</v>
      </c>
      <c r="K185" s="110">
        <f>Просчет!M250</f>
        <v>6460</v>
      </c>
      <c r="L185" s="111">
        <f t="shared" si="2"/>
        <v>0</v>
      </c>
    </row>
    <row r="186" spans="2:12" x14ac:dyDescent="0.2">
      <c r="B186" s="93">
        <f>SUBTOTAL(103,$C$21:$C186)</f>
        <v>166</v>
      </c>
      <c r="C186" s="385" t="str">
        <f>Просчет!B251</f>
        <v>Тонування+матовий лак (відкрита пора), 16 мм кат.2</v>
      </c>
      <c r="D186" s="385"/>
      <c r="E186" s="385"/>
      <c r="F186" s="385"/>
      <c r="G186" s="385"/>
      <c r="H186" s="385"/>
      <c r="I186" s="93" t="str">
        <f>Просчет!J251</f>
        <v>м²</v>
      </c>
      <c r="J186" s="93">
        <f>ROUND(Просчет!K251,3)</f>
        <v>0</v>
      </c>
      <c r="K186" s="110">
        <f>Просчет!M251</f>
        <v>7810</v>
      </c>
      <c r="L186" s="111">
        <f t="shared" si="2"/>
        <v>0</v>
      </c>
    </row>
    <row r="187" spans="2:12" x14ac:dyDescent="0.2">
      <c r="B187" s="93">
        <f>SUBTOTAL(103,$C$21:$C187)</f>
        <v>167</v>
      </c>
      <c r="C187" s="385" t="str">
        <f>Просчет!B252</f>
        <v>Тонування+матовий лак (відкрита пора), 19 мм кат.1</v>
      </c>
      <c r="D187" s="385"/>
      <c r="E187" s="385"/>
      <c r="F187" s="385"/>
      <c r="G187" s="385"/>
      <c r="H187" s="385"/>
      <c r="I187" s="93" t="str">
        <f>Просчет!J252</f>
        <v>м²</v>
      </c>
      <c r="J187" s="93">
        <f>ROUND(Просчет!K252,3)</f>
        <v>0</v>
      </c>
      <c r="K187" s="110">
        <f>Просчет!M252</f>
        <v>6530</v>
      </c>
      <c r="L187" s="111">
        <f t="shared" si="2"/>
        <v>0</v>
      </c>
    </row>
    <row r="188" spans="2:12" x14ac:dyDescent="0.2">
      <c r="B188" s="93">
        <f>SUBTOTAL(103,$C$21:$C188)</f>
        <v>168</v>
      </c>
      <c r="C188" s="385" t="str">
        <f>Просчет!B253</f>
        <v>Тонування+матовий лак (відкрита пора), 19 мм кат.2</v>
      </c>
      <c r="D188" s="385"/>
      <c r="E188" s="385"/>
      <c r="F188" s="385"/>
      <c r="G188" s="385"/>
      <c r="H188" s="385"/>
      <c r="I188" s="93" t="str">
        <f>Просчет!J253</f>
        <v>м²</v>
      </c>
      <c r="J188" s="93">
        <f>ROUND(Просчет!K253,3)</f>
        <v>0</v>
      </c>
      <c r="K188" s="110">
        <f>Просчет!M253</f>
        <v>7880</v>
      </c>
      <c r="L188" s="111">
        <f t="shared" si="2"/>
        <v>0</v>
      </c>
    </row>
    <row r="189" spans="2:12" x14ac:dyDescent="0.2">
      <c r="B189" s="169">
        <f>SUBTOTAL(103,$C$21:$C189)</f>
        <v>169</v>
      </c>
      <c r="C189" s="385" t="str">
        <f>Просчет!B254</f>
        <v>Тонування+матовий лак (відкрита пора), 22 мм кат.1</v>
      </c>
      <c r="D189" s="385"/>
      <c r="E189" s="385"/>
      <c r="F189" s="385"/>
      <c r="G189" s="385"/>
      <c r="H189" s="385"/>
      <c r="I189" s="93" t="str">
        <f>Просчет!J254</f>
        <v>м²</v>
      </c>
      <c r="J189" s="93">
        <f>ROUND(Просчет!K254,3)</f>
        <v>0</v>
      </c>
      <c r="K189" s="110">
        <f>Просчет!M254</f>
        <v>7230</v>
      </c>
      <c r="L189" s="111">
        <f t="shared" si="2"/>
        <v>0</v>
      </c>
    </row>
    <row r="190" spans="2:12" x14ac:dyDescent="0.2">
      <c r="B190" s="169">
        <f>SUBTOTAL(103,$C$21:$C190)</f>
        <v>170</v>
      </c>
      <c r="C190" s="385" t="str">
        <f>Просчет!B255</f>
        <v>Тонування+матовий лак (відкрита пора), 22 мм кат.2</v>
      </c>
      <c r="D190" s="385"/>
      <c r="E190" s="385"/>
      <c r="F190" s="385"/>
      <c r="G190" s="385"/>
      <c r="H190" s="385"/>
      <c r="I190" s="93" t="str">
        <f>Просчет!J255</f>
        <v>м²</v>
      </c>
      <c r="J190" s="93">
        <f>ROUND(Просчет!K255,3)</f>
        <v>0</v>
      </c>
      <c r="K190" s="110">
        <f>Просчет!M255</f>
        <v>8580</v>
      </c>
      <c r="L190" s="111">
        <f t="shared" si="2"/>
        <v>0</v>
      </c>
    </row>
    <row r="191" spans="2:12" x14ac:dyDescent="0.2">
      <c r="B191" s="93">
        <f>SUBTOTAL(103,$C$21:$C191)</f>
        <v>171</v>
      </c>
      <c r="C191" s="385" t="str">
        <f>Просчет!B256</f>
        <v>Тонування+матовий лак (відкрита пора), покриття другої сторони кат.1</v>
      </c>
      <c r="D191" s="385"/>
      <c r="E191" s="385"/>
      <c r="F191" s="385"/>
      <c r="G191" s="385"/>
      <c r="H191" s="385"/>
      <c r="I191" s="93" t="str">
        <f>Просчет!J256</f>
        <v>м²</v>
      </c>
      <c r="J191" s="93">
        <f>ROUND(Просчет!K256,3)</f>
        <v>0</v>
      </c>
      <c r="K191" s="110">
        <f>Просчет!M256</f>
        <v>3230</v>
      </c>
      <c r="L191" s="111">
        <f t="shared" si="2"/>
        <v>0</v>
      </c>
    </row>
    <row r="192" spans="2:12" x14ac:dyDescent="0.2">
      <c r="B192" s="169">
        <f>SUBTOTAL(103,$C$21:$C192)</f>
        <v>172</v>
      </c>
      <c r="C192" s="385" t="str">
        <f>Просчет!B257</f>
        <v>Тонування+матовий лак (відкрита пора), покриття другої сторони кат.2</v>
      </c>
      <c r="D192" s="385"/>
      <c r="E192" s="385"/>
      <c r="F192" s="385"/>
      <c r="G192" s="385"/>
      <c r="H192" s="385"/>
      <c r="I192" s="93" t="str">
        <f>Просчет!J257</f>
        <v>м²</v>
      </c>
      <c r="J192" s="93">
        <f>ROUND(Просчет!K257,3)</f>
        <v>0</v>
      </c>
      <c r="K192" s="110">
        <f>Просчет!M257</f>
        <v>3905</v>
      </c>
      <c r="L192" s="111">
        <f t="shared" si="2"/>
        <v>0</v>
      </c>
    </row>
    <row r="193" spans="2:12" x14ac:dyDescent="0.2">
      <c r="B193" s="93">
        <f>SUBTOTAL(103,$C$21:$C193)</f>
        <v>173</v>
      </c>
      <c r="C193" s="385" t="str">
        <f>Просчет!B258</f>
        <v xml:space="preserve">Матове покриття радіусний фасад гладкий, 16 мм </v>
      </c>
      <c r="D193" s="385"/>
      <c r="E193" s="385"/>
      <c r="F193" s="385"/>
      <c r="G193" s="385"/>
      <c r="H193" s="385"/>
      <c r="I193" s="93" t="str">
        <f>Просчет!J258</f>
        <v>м²</v>
      </c>
      <c r="J193" s="93">
        <f>ROUND(Просчет!K258,3)</f>
        <v>0</v>
      </c>
      <c r="K193" s="110">
        <f>Просчет!M258</f>
        <v>4370</v>
      </c>
      <c r="L193" s="111">
        <f t="shared" si="2"/>
        <v>0</v>
      </c>
    </row>
    <row r="194" spans="2:12" x14ac:dyDescent="0.2">
      <c r="B194" s="93">
        <f>SUBTOTAL(103,$C$21:$C194)</f>
        <v>174</v>
      </c>
      <c r="C194" s="385" t="str">
        <f>Просчет!B259</f>
        <v>Матове покриття радіусний фасад гладкий, 19 мм</v>
      </c>
      <c r="D194" s="385"/>
      <c r="E194" s="385"/>
      <c r="F194" s="385"/>
      <c r="G194" s="385"/>
      <c r="H194" s="385"/>
      <c r="I194" s="93" t="str">
        <f>Просчет!J259</f>
        <v>м²</v>
      </c>
      <c r="J194" s="93">
        <f>ROUND(Просчет!K259,3)</f>
        <v>0</v>
      </c>
      <c r="K194" s="110">
        <f>Просчет!M259</f>
        <v>4440</v>
      </c>
      <c r="L194" s="111">
        <f t="shared" si="2"/>
        <v>0</v>
      </c>
    </row>
    <row r="195" spans="2:12" x14ac:dyDescent="0.2">
      <c r="B195" s="169">
        <f>SUBTOTAL(103,$C$21:$C195)</f>
        <v>175</v>
      </c>
      <c r="C195" s="385" t="str">
        <f>Просчет!B260</f>
        <v>Матове покриття другої сторони радіусний фасад  гладкий</v>
      </c>
      <c r="D195" s="385"/>
      <c r="E195" s="385"/>
      <c r="F195" s="385"/>
      <c r="G195" s="385"/>
      <c r="H195" s="385"/>
      <c r="I195" s="93" t="str">
        <f>Просчет!J260</f>
        <v>м²</v>
      </c>
      <c r="J195" s="93">
        <f>ROUND(Просчет!K260,3)</f>
        <v>0</v>
      </c>
      <c r="K195" s="110">
        <f>Просчет!M260</f>
        <v>3870</v>
      </c>
      <c r="L195" s="111">
        <f t="shared" si="2"/>
        <v>0</v>
      </c>
    </row>
    <row r="196" spans="2:12" x14ac:dyDescent="0.2">
      <c r="B196" s="169">
        <f>SUBTOTAL(103,$C$21:$C196)</f>
        <v>176</v>
      </c>
      <c r="C196" s="385" t="str">
        <f>Просчет!B261</f>
        <v>Софт покриття радіусний фасад  гладкий,16 мм</v>
      </c>
      <c r="D196" s="385"/>
      <c r="E196" s="385"/>
      <c r="F196" s="385"/>
      <c r="G196" s="385"/>
      <c r="H196" s="385"/>
      <c r="I196" s="93" t="str">
        <f>Просчет!J261</f>
        <v>м²</v>
      </c>
      <c r="J196" s="93">
        <f>ROUND(Просчет!K261,3)</f>
        <v>0</v>
      </c>
      <c r="K196" s="110">
        <f>Просчет!M261</f>
        <v>4370</v>
      </c>
      <c r="L196" s="111">
        <f t="shared" si="2"/>
        <v>0</v>
      </c>
    </row>
    <row r="197" spans="2:12" x14ac:dyDescent="0.2">
      <c r="B197" s="169">
        <f>SUBTOTAL(103,$C$21:$C197)</f>
        <v>177</v>
      </c>
      <c r="C197" s="385" t="str">
        <f>Просчет!B262</f>
        <v>Софт покриття радіусний фасад гладкий, 19 мм</v>
      </c>
      <c r="D197" s="385"/>
      <c r="E197" s="385"/>
      <c r="F197" s="385"/>
      <c r="G197" s="385"/>
      <c r="H197" s="385"/>
      <c r="I197" s="93" t="str">
        <f>Просчет!J262</f>
        <v>м²</v>
      </c>
      <c r="J197" s="93">
        <f>ROUND(Просчет!K262,3)</f>
        <v>0</v>
      </c>
      <c r="K197" s="110">
        <f>Просчет!M262</f>
        <v>4440</v>
      </c>
      <c r="L197" s="111">
        <f t="shared" si="2"/>
        <v>0</v>
      </c>
    </row>
    <row r="198" spans="2:12" x14ac:dyDescent="0.2">
      <c r="B198" s="169">
        <f>SUBTOTAL(103,$C$21:$C198)</f>
        <v>178</v>
      </c>
      <c r="C198" s="385" t="str">
        <f>Просчет!B263</f>
        <v>Софт покриття другої сторони радіусний фасад  гладкий</v>
      </c>
      <c r="D198" s="385"/>
      <c r="E198" s="385"/>
      <c r="F198" s="385"/>
      <c r="G198" s="385"/>
      <c r="H198" s="385"/>
      <c r="I198" s="93" t="str">
        <f>Просчет!J263</f>
        <v>м²</v>
      </c>
      <c r="J198" s="93">
        <f>ROUND(Просчет!K263,3)</f>
        <v>0</v>
      </c>
      <c r="K198" s="110">
        <f>Просчет!M263</f>
        <v>3870</v>
      </c>
      <c r="L198" s="111">
        <f t="shared" si="2"/>
        <v>0</v>
      </c>
    </row>
    <row r="199" spans="2:12" x14ac:dyDescent="0.2">
      <c r="B199" s="169">
        <f>SUBTOTAL(103,$C$21:$C199)</f>
        <v>179</v>
      </c>
      <c r="C199" s="385" t="str">
        <f>Просчет!B264</f>
        <v>Глянцеве покриття з поліруванням радіусний фасад гладкий, 16 мм</v>
      </c>
      <c r="D199" s="385"/>
      <c r="E199" s="385"/>
      <c r="F199" s="385"/>
      <c r="G199" s="385"/>
      <c r="H199" s="385"/>
      <c r="I199" s="93" t="str">
        <f>Просчет!J264</f>
        <v>м²</v>
      </c>
      <c r="J199" s="93">
        <f>ROUND(Просчет!K264,3)</f>
        <v>0</v>
      </c>
      <c r="K199" s="110">
        <f>Просчет!M264</f>
        <v>4860</v>
      </c>
      <c r="L199" s="111">
        <f t="shared" si="2"/>
        <v>0</v>
      </c>
    </row>
    <row r="200" spans="2:12" x14ac:dyDescent="0.2">
      <c r="B200" s="93">
        <f>SUBTOTAL(103,$C$21:$C200)</f>
        <v>180</v>
      </c>
      <c r="C200" s="385" t="str">
        <f>Просчет!B265</f>
        <v>Глянцеве покриття з поліруванням радіусний фасад гладкий, 19 мм</v>
      </c>
      <c r="D200" s="385"/>
      <c r="E200" s="385"/>
      <c r="F200" s="385"/>
      <c r="G200" s="385"/>
      <c r="H200" s="385"/>
      <c r="I200" s="93" t="str">
        <f>Просчет!J265</f>
        <v>м²</v>
      </c>
      <c r="J200" s="93">
        <f>ROUND(Просчет!K265,3)</f>
        <v>0</v>
      </c>
      <c r="K200" s="110">
        <f>Просчет!M265</f>
        <v>4930</v>
      </c>
      <c r="L200" s="111">
        <f t="shared" si="2"/>
        <v>0</v>
      </c>
    </row>
    <row r="201" spans="2:12" x14ac:dyDescent="0.2">
      <c r="B201" s="169">
        <f>SUBTOTAL(103,$C$21:$C201)</f>
        <v>181</v>
      </c>
      <c r="C201" s="385" t="str">
        <f>Просчет!B266</f>
        <v xml:space="preserve">Глянцеве покриття з поліруванням другої сторони радіусний фасад гладкий </v>
      </c>
      <c r="D201" s="385"/>
      <c r="E201" s="385"/>
      <c r="F201" s="385"/>
      <c r="G201" s="385"/>
      <c r="H201" s="385"/>
      <c r="I201" s="93" t="str">
        <f>Просчет!J266</f>
        <v>м²</v>
      </c>
      <c r="J201" s="93">
        <f>ROUND(Просчет!K266,3)</f>
        <v>0</v>
      </c>
      <c r="K201" s="110">
        <f>Просчет!M266</f>
        <v>4360</v>
      </c>
      <c r="L201" s="111">
        <f t="shared" si="2"/>
        <v>0</v>
      </c>
    </row>
    <row r="202" spans="2:12" x14ac:dyDescent="0.2">
      <c r="B202" s="93">
        <f>SUBTOTAL(103,$C$21:$C202)</f>
        <v>182</v>
      </c>
      <c r="C202" s="385" t="str">
        <f>Просчет!B267</f>
        <v>Спецефект Перламутр срібло/золото + глянцевий лак з поліруванням, радіусний фасад гладкий, 16 мм</v>
      </c>
      <c r="D202" s="385"/>
      <c r="E202" s="385"/>
      <c r="F202" s="385"/>
      <c r="G202" s="385"/>
      <c r="H202" s="385"/>
      <c r="I202" s="93" t="str">
        <f>Просчет!J267</f>
        <v>м²</v>
      </c>
      <c r="J202" s="93">
        <f>ROUND(Просчет!K267,3)</f>
        <v>0</v>
      </c>
      <c r="K202" s="110">
        <f>Просчет!M267</f>
        <v>5070</v>
      </c>
      <c r="L202" s="111">
        <f t="shared" si="2"/>
        <v>0</v>
      </c>
    </row>
    <row r="203" spans="2:12" x14ac:dyDescent="0.2">
      <c r="B203" s="93">
        <f>SUBTOTAL(103,$C$21:$C203)</f>
        <v>183</v>
      </c>
      <c r="C203" s="385" t="str">
        <f>Просчет!B268</f>
        <v>Спецефект Перламутр срібло/золото + глянцевий лак з поліруванням, радіусний фасад гладкий, 19 мм</v>
      </c>
      <c r="D203" s="385"/>
      <c r="E203" s="385"/>
      <c r="F203" s="385"/>
      <c r="G203" s="385"/>
      <c r="H203" s="385"/>
      <c r="I203" s="93" t="str">
        <f>Просчет!J268</f>
        <v>м²</v>
      </c>
      <c r="J203" s="93">
        <f>ROUND(Просчет!K268,3)</f>
        <v>0</v>
      </c>
      <c r="K203" s="110">
        <f>Просчет!M268</f>
        <v>5140</v>
      </c>
      <c r="L203" s="111">
        <f t="shared" si="2"/>
        <v>0</v>
      </c>
    </row>
    <row r="204" spans="2:12" x14ac:dyDescent="0.2">
      <c r="B204" s="93">
        <f>SUBTOTAL(103,$C$21:$C204)</f>
        <v>184</v>
      </c>
      <c r="C204" s="385" t="str">
        <f>Просчет!B269</f>
        <v>Спецефект Перламутр срібло/золото + глянцевий лак з поліруванням, покриття другої сторони, , радіусний фасад гладкий</v>
      </c>
      <c r="D204" s="385"/>
      <c r="E204" s="385"/>
      <c r="F204" s="385"/>
      <c r="G204" s="385"/>
      <c r="H204" s="385"/>
      <c r="I204" s="93" t="str">
        <f>Просчет!J269</f>
        <v>м²</v>
      </c>
      <c r="J204" s="93">
        <f>ROUND(Просчет!K269,3)</f>
        <v>0</v>
      </c>
      <c r="K204" s="110">
        <f>Просчет!M269</f>
        <v>0</v>
      </c>
      <c r="L204" s="111">
        <f t="shared" si="2"/>
        <v>0</v>
      </c>
    </row>
    <row r="205" spans="2:12" x14ac:dyDescent="0.2">
      <c r="B205" s="93">
        <f>SUBTOTAL(103,$C$21:$C205)</f>
        <v>185</v>
      </c>
      <c r="C205" s="385" t="str">
        <f>Просчет!B270</f>
        <v>Спецефект Гума (антивандальний) , радіусний фасад гладкий, 16 мм</v>
      </c>
      <c r="D205" s="385"/>
      <c r="E205" s="385"/>
      <c r="F205" s="385"/>
      <c r="G205" s="385"/>
      <c r="H205" s="385"/>
      <c r="I205" s="93" t="str">
        <f>Просчет!J270</f>
        <v>м²</v>
      </c>
      <c r="J205" s="93">
        <f>ROUND(Просчет!K270,3)</f>
        <v>0</v>
      </c>
      <c r="K205" s="110">
        <f>Просчет!M270</f>
        <v>4930</v>
      </c>
      <c r="L205" s="111">
        <f t="shared" si="2"/>
        <v>0</v>
      </c>
    </row>
    <row r="206" spans="2:12" x14ac:dyDescent="0.2">
      <c r="B206" s="93">
        <f>SUBTOTAL(103,$C$21:$C206)</f>
        <v>186</v>
      </c>
      <c r="C206" s="385" t="str">
        <f>Просчет!B271</f>
        <v>Спецефект Гума (антивандальний), радіусний фасад гладкий, 19 мм</v>
      </c>
      <c r="D206" s="385"/>
      <c r="E206" s="385"/>
      <c r="F206" s="385"/>
      <c r="G206" s="385"/>
      <c r="H206" s="385"/>
      <c r="I206" s="93" t="str">
        <f>Просчет!J271</f>
        <v>м²</v>
      </c>
      <c r="J206" s="93">
        <f>ROUND(Просчет!K271,3)</f>
        <v>0</v>
      </c>
      <c r="K206" s="110">
        <f>Просчет!M271</f>
        <v>5000</v>
      </c>
      <c r="L206" s="111">
        <f t="shared" si="2"/>
        <v>0</v>
      </c>
    </row>
    <row r="207" spans="2:12" x14ac:dyDescent="0.2">
      <c r="B207" s="93">
        <f>SUBTOTAL(103,$C$21:$C207)</f>
        <v>187</v>
      </c>
      <c r="C207" s="385" t="str">
        <f>Просчет!B272</f>
        <v>Спецефект Гума (антивандальний), покриття другої сторони, радіусний фасад гладкий, 16 мм</v>
      </c>
      <c r="D207" s="385"/>
      <c r="E207" s="385"/>
      <c r="F207" s="385"/>
      <c r="G207" s="385"/>
      <c r="H207" s="385"/>
      <c r="I207" s="93" t="str">
        <f>Просчет!J272</f>
        <v>м²</v>
      </c>
      <c r="J207" s="93">
        <f>ROUND(Просчет!K272,3)</f>
        <v>0</v>
      </c>
      <c r="K207" s="110">
        <f>Просчет!M272</f>
        <v>0</v>
      </c>
      <c r="L207" s="111">
        <f t="shared" si="2"/>
        <v>0</v>
      </c>
    </row>
    <row r="208" spans="2:12" x14ac:dyDescent="0.2">
      <c r="B208" s="93">
        <f>SUBTOTAL(103,$C$21:$C208)</f>
        <v>188</v>
      </c>
      <c r="C208" s="385" t="str">
        <f>Просчет!B273</f>
        <v>Спецефект Автометалік Mobihel + глянцевий лак з поліруванням, радіусний фасад гладкий, 16 мм</v>
      </c>
      <c r="D208" s="385"/>
      <c r="E208" s="385"/>
      <c r="F208" s="385"/>
      <c r="G208" s="385"/>
      <c r="H208" s="385"/>
      <c r="I208" s="93" t="str">
        <f>Просчет!J273</f>
        <v>м²</v>
      </c>
      <c r="J208" s="93">
        <f>ROUND(Просчет!K273,3)</f>
        <v>0</v>
      </c>
      <c r="K208" s="110">
        <f>Просчет!M273</f>
        <v>5630</v>
      </c>
      <c r="L208" s="111">
        <f t="shared" si="2"/>
        <v>0</v>
      </c>
    </row>
    <row r="209" spans="2:12" x14ac:dyDescent="0.2">
      <c r="B209" s="93">
        <f>SUBTOTAL(103,$C$21:$C209)</f>
        <v>189</v>
      </c>
      <c r="C209" s="385" t="str">
        <f>Просчет!B274</f>
        <v>Спецефект Автометалік Mobihel + глянцевий лак з поліруванням, радіусний фасад гладкий, 19 мм</v>
      </c>
      <c r="D209" s="385"/>
      <c r="E209" s="385"/>
      <c r="F209" s="385"/>
      <c r="G209" s="385"/>
      <c r="H209" s="385"/>
      <c r="I209" s="93" t="str">
        <f>Просчет!J274</f>
        <v>м²</v>
      </c>
      <c r="J209" s="93">
        <f>ROUND(Просчет!K274,3)</f>
        <v>0</v>
      </c>
      <c r="K209" s="110">
        <f>Просчет!M274</f>
        <v>5700</v>
      </c>
      <c r="L209" s="111">
        <f t="shared" si="2"/>
        <v>0</v>
      </c>
    </row>
    <row r="210" spans="2:12" x14ac:dyDescent="0.2">
      <c r="B210" s="93">
        <f>SUBTOTAL(103,$C$21:$C210)</f>
        <v>190</v>
      </c>
      <c r="C210" s="385" t="str">
        <f>Просчет!B275</f>
        <v>Спецефект Автометалік Mobihel + глянцевий лак з поліруванням, покриття другої сторони, радіусний фасад гладкий</v>
      </c>
      <c r="D210" s="385"/>
      <c r="E210" s="385"/>
      <c r="F210" s="385"/>
      <c r="G210" s="385"/>
      <c r="H210" s="385"/>
      <c r="I210" s="93" t="str">
        <f>Просчет!J275</f>
        <v>м²</v>
      </c>
      <c r="J210" s="93">
        <f>ROUND(Просчет!K275,3)</f>
        <v>0</v>
      </c>
      <c r="K210" s="110">
        <f>Просчет!M275</f>
        <v>0</v>
      </c>
      <c r="L210" s="111">
        <f t="shared" si="2"/>
        <v>0</v>
      </c>
    </row>
    <row r="211" spans="2:12" x14ac:dyDescent="0.2">
      <c r="B211" s="93">
        <f>SUBTOTAL(103,$C$21:$C211)</f>
        <v>191</v>
      </c>
      <c r="C211" s="385" t="str">
        <f>Просчет!B276</f>
        <v>Спецефект Рідке скло (антивандальний), радіусний фасад гладкий, 16 мм</v>
      </c>
      <c r="D211" s="385"/>
      <c r="E211" s="385"/>
      <c r="F211" s="385"/>
      <c r="G211" s="385"/>
      <c r="H211" s="385"/>
      <c r="I211" s="93" t="str">
        <f>Просчет!J276</f>
        <v>м²</v>
      </c>
      <c r="J211" s="93">
        <f>ROUND(Просчет!K276,3)</f>
        <v>0</v>
      </c>
      <c r="K211" s="110">
        <f>Просчет!M276</f>
        <v>5280</v>
      </c>
      <c r="L211" s="111">
        <f t="shared" si="2"/>
        <v>0</v>
      </c>
    </row>
    <row r="212" spans="2:12" x14ac:dyDescent="0.2">
      <c r="B212" s="93">
        <f>SUBTOTAL(103,$C$21:$C212)</f>
        <v>192</v>
      </c>
      <c r="C212" s="385" t="str">
        <f>Просчет!B277</f>
        <v>Спецефект Рідке скло (антивандальний), радіусний фасад гладкий, 19 мм</v>
      </c>
      <c r="D212" s="385"/>
      <c r="E212" s="385"/>
      <c r="F212" s="385"/>
      <c r="G212" s="385"/>
      <c r="H212" s="385"/>
      <c r="I212" s="93" t="str">
        <f>Просчет!J277</f>
        <v>м²</v>
      </c>
      <c r="J212" s="93">
        <f>ROUND(Просчет!K277,3)</f>
        <v>0</v>
      </c>
      <c r="K212" s="110">
        <f>Просчет!M277</f>
        <v>5350</v>
      </c>
      <c r="L212" s="111">
        <f t="shared" si="2"/>
        <v>0</v>
      </c>
    </row>
    <row r="213" spans="2:12" x14ac:dyDescent="0.2">
      <c r="B213" s="169">
        <f>SUBTOTAL(103,$C$21:$C213)</f>
        <v>193</v>
      </c>
      <c r="C213" s="385" t="str">
        <f>Просчет!B278</f>
        <v>Спецефект Рідке скло (антивандальний), покриття другої сторони, радіусний фасад гладкий</v>
      </c>
      <c r="D213" s="385"/>
      <c r="E213" s="385"/>
      <c r="F213" s="385"/>
      <c r="G213" s="385"/>
      <c r="H213" s="385"/>
      <c r="I213" s="93" t="str">
        <f>Просчет!J278</f>
        <v>м²</v>
      </c>
      <c r="J213" s="93">
        <f>ROUND(Просчет!K278,3)</f>
        <v>0</v>
      </c>
      <c r="K213" s="110">
        <f>Просчет!M278</f>
        <v>0</v>
      </c>
      <c r="L213" s="111">
        <f t="shared" si="2"/>
        <v>0</v>
      </c>
    </row>
    <row r="214" spans="2:12" x14ac:dyDescent="0.2">
      <c r="B214" s="93">
        <f>SUBTOTAL(103,$C$21:$C214)</f>
        <v>194</v>
      </c>
      <c r="C214" s="385" t="str">
        <f>Просчет!B279</f>
        <v>Спецефект Перли, Графіт, радіусний фасад гладкий, 16 мм</v>
      </c>
      <c r="D214" s="385"/>
      <c r="E214" s="385"/>
      <c r="F214" s="385"/>
      <c r="G214" s="385"/>
      <c r="H214" s="385"/>
      <c r="I214" s="93" t="str">
        <f>Просчет!J279</f>
        <v>м²</v>
      </c>
      <c r="J214" s="93">
        <f>ROUND(Просчет!K279,3)</f>
        <v>0</v>
      </c>
      <c r="K214" s="110">
        <f>Просчет!M279</f>
        <v>5420</v>
      </c>
      <c r="L214" s="111">
        <f t="shared" ref="L214:L277" si="3">J214*K214</f>
        <v>0</v>
      </c>
    </row>
    <row r="215" spans="2:12" x14ac:dyDescent="0.2">
      <c r="B215" s="93">
        <f>SUBTOTAL(103,$C$21:$C215)</f>
        <v>195</v>
      </c>
      <c r="C215" s="385" t="str">
        <f>Просчет!B280</f>
        <v>Спецефект Перли, Графіт, радіусний фасад гладкий, 19 мм</v>
      </c>
      <c r="D215" s="385"/>
      <c r="E215" s="385"/>
      <c r="F215" s="385"/>
      <c r="G215" s="385"/>
      <c r="H215" s="385"/>
      <c r="I215" s="93" t="str">
        <f>Просчет!J280</f>
        <v>м²</v>
      </c>
      <c r="J215" s="93">
        <f>ROUND(Просчет!K280,3)</f>
        <v>0</v>
      </c>
      <c r="K215" s="110">
        <f>Просчет!M280</f>
        <v>5490</v>
      </c>
      <c r="L215" s="111">
        <f t="shared" si="3"/>
        <v>0</v>
      </c>
    </row>
    <row r="216" spans="2:12" x14ac:dyDescent="0.2">
      <c r="B216" s="93">
        <f>SUBTOTAL(103,$C$21:$C216)</f>
        <v>196</v>
      </c>
      <c r="C216" s="385" t="str">
        <f>Просчет!B281</f>
        <v>Спецефект Перли, Графіт, покриття другої сторони, радіусний фасад гладкий</v>
      </c>
      <c r="D216" s="385"/>
      <c r="E216" s="385"/>
      <c r="F216" s="385"/>
      <c r="G216" s="385"/>
      <c r="H216" s="385"/>
      <c r="I216" s="93" t="str">
        <f>Просчет!J281</f>
        <v>м²</v>
      </c>
      <c r="J216" s="93">
        <f>ROUND(Просчет!K281,3)</f>
        <v>0</v>
      </c>
      <c r="K216" s="110">
        <f>Просчет!M281</f>
        <v>0</v>
      </c>
      <c r="L216" s="111">
        <f t="shared" si="3"/>
        <v>0</v>
      </c>
    </row>
    <row r="217" spans="2:12" x14ac:dyDescent="0.2">
      <c r="B217" s="93">
        <f>SUBTOTAL(103,$C$21:$C217)</f>
        <v>197</v>
      </c>
      <c r="C217" s="385" t="str">
        <f>Просчет!B282</f>
        <v>Спецефект Зоряне небо+ глянцевий лак з поліруванням, радіусний фасад гладкий, 16 мм</v>
      </c>
      <c r="D217" s="385"/>
      <c r="E217" s="385"/>
      <c r="F217" s="385"/>
      <c r="G217" s="385"/>
      <c r="H217" s="385"/>
      <c r="I217" s="93" t="str">
        <f>Просчет!J282</f>
        <v>м²</v>
      </c>
      <c r="J217" s="93">
        <f>ROUND(Просчет!K282,3)</f>
        <v>0</v>
      </c>
      <c r="K217" s="110">
        <f>Просчет!M282</f>
        <v>5630</v>
      </c>
      <c r="L217" s="111">
        <f t="shared" si="3"/>
        <v>0</v>
      </c>
    </row>
    <row r="218" spans="2:12" x14ac:dyDescent="0.2">
      <c r="B218" s="93">
        <f>SUBTOTAL(103,$C$21:$C218)</f>
        <v>198</v>
      </c>
      <c r="C218" s="385" t="str">
        <f>Просчет!B283</f>
        <v>Спецефект Зоряне небо+ глянцевий лак з поліруванням, радіусний фасад гладкий, 19 мм</v>
      </c>
      <c r="D218" s="385"/>
      <c r="E218" s="385"/>
      <c r="F218" s="385"/>
      <c r="G218" s="385"/>
      <c r="H218" s="385"/>
      <c r="I218" s="93" t="str">
        <f>Просчет!J283</f>
        <v>м²</v>
      </c>
      <c r="J218" s="93">
        <f>ROUND(Просчет!K283,3)</f>
        <v>0</v>
      </c>
      <c r="K218" s="110">
        <f>Просчет!M283</f>
        <v>5700</v>
      </c>
      <c r="L218" s="111">
        <f t="shared" si="3"/>
        <v>0</v>
      </c>
    </row>
    <row r="219" spans="2:12" x14ac:dyDescent="0.2">
      <c r="B219" s="93">
        <f>SUBTOTAL(103,$C$21:$C219)</f>
        <v>199</v>
      </c>
      <c r="C219" s="385" t="str">
        <f>Просчет!B284</f>
        <v>Спецефект Зоряне небо+ глянцевий лак з поліруванням, покриття другої сторони, гладкий фасад, радіусний фасад гладкий</v>
      </c>
      <c r="D219" s="385"/>
      <c r="E219" s="385"/>
      <c r="F219" s="385"/>
      <c r="G219" s="385"/>
      <c r="H219" s="385"/>
      <c r="I219" s="93" t="str">
        <f>Просчет!J284</f>
        <v>м²</v>
      </c>
      <c r="J219" s="93">
        <f>ROUND(Просчет!K284,3)</f>
        <v>0</v>
      </c>
      <c r="K219" s="110">
        <f>Просчет!M284</f>
        <v>0</v>
      </c>
      <c r="L219" s="111">
        <f t="shared" si="3"/>
        <v>0</v>
      </c>
    </row>
    <row r="220" spans="2:12" x14ac:dyDescent="0.2">
      <c r="B220" s="93">
        <f>SUBTOTAL(103,$C$21:$C220)</f>
        <v>200</v>
      </c>
      <c r="C220" s="385" t="str">
        <f>Просчет!B285</f>
        <v>Матове покриття до 16 мм, радіусний фрез. фасад кат.1</v>
      </c>
      <c r="D220" s="385"/>
      <c r="E220" s="385"/>
      <c r="F220" s="385"/>
      <c r="G220" s="385"/>
      <c r="H220" s="385"/>
      <c r="I220" s="93" t="str">
        <f>Просчет!J285</f>
        <v>м²</v>
      </c>
      <c r="J220" s="93">
        <f>ROUND(Просчет!K285,3)</f>
        <v>0</v>
      </c>
      <c r="K220" s="110">
        <f>Просчет!M285</f>
        <v>5910</v>
      </c>
      <c r="L220" s="111">
        <f t="shared" si="3"/>
        <v>0</v>
      </c>
    </row>
    <row r="221" spans="2:12" x14ac:dyDescent="0.2">
      <c r="B221" s="93">
        <f>SUBTOTAL(103,$C$21:$C221)</f>
        <v>201</v>
      </c>
      <c r="C221" s="385" t="str">
        <f>Просчет!B286</f>
        <v>Матове покриття до 16 мм, радіусний фрез. фасад кат.2</v>
      </c>
      <c r="D221" s="385"/>
      <c r="E221" s="385"/>
      <c r="F221" s="385"/>
      <c r="G221" s="385"/>
      <c r="H221" s="385"/>
      <c r="I221" s="93" t="str">
        <f>Просчет!J286</f>
        <v>м²</v>
      </c>
      <c r="J221" s="93">
        <f>ROUND(Просчет!K286,3)</f>
        <v>0</v>
      </c>
      <c r="K221" s="110">
        <f>Просчет!M286</f>
        <v>6330</v>
      </c>
      <c r="L221" s="111">
        <f t="shared" si="3"/>
        <v>0</v>
      </c>
    </row>
    <row r="222" spans="2:12" x14ac:dyDescent="0.2">
      <c r="B222" s="93">
        <f>SUBTOTAL(103,$C$21:$C222)</f>
        <v>202</v>
      </c>
      <c r="C222" s="385" t="str">
        <f>Просчет!B287</f>
        <v>Матове покриття 19 мм,радіусний  фрез. фасад кат.1</v>
      </c>
      <c r="D222" s="385"/>
      <c r="E222" s="385"/>
      <c r="F222" s="385"/>
      <c r="G222" s="385"/>
      <c r="H222" s="385"/>
      <c r="I222" s="93" t="str">
        <f>Просчет!J287</f>
        <v>м²</v>
      </c>
      <c r="J222" s="93">
        <f>ROUND(Просчет!K287,3)</f>
        <v>0</v>
      </c>
      <c r="K222" s="110">
        <f>Просчет!M287</f>
        <v>5980</v>
      </c>
      <c r="L222" s="111">
        <f t="shared" si="3"/>
        <v>0</v>
      </c>
    </row>
    <row r="223" spans="2:12" x14ac:dyDescent="0.2">
      <c r="B223" s="93">
        <f>SUBTOTAL(103,$C$21:$C223)</f>
        <v>203</v>
      </c>
      <c r="C223" s="385" t="str">
        <f>Просчет!B288</f>
        <v>Матове покриття 19 мм,радіусний  фрез. фасад кат.2</v>
      </c>
      <c r="D223" s="385"/>
      <c r="E223" s="385"/>
      <c r="F223" s="385"/>
      <c r="G223" s="385"/>
      <c r="H223" s="385"/>
      <c r="I223" s="93" t="str">
        <f>Просчет!J288</f>
        <v>м²</v>
      </c>
      <c r="J223" s="93">
        <f>ROUND(Просчет!K288,3)</f>
        <v>0</v>
      </c>
      <c r="K223" s="110">
        <f>Просчет!M288</f>
        <v>6400</v>
      </c>
      <c r="L223" s="111">
        <f t="shared" si="3"/>
        <v>0</v>
      </c>
    </row>
    <row r="224" spans="2:12" x14ac:dyDescent="0.2">
      <c r="B224" s="93">
        <f>SUBTOTAL(103,$C$21:$C224)</f>
        <v>204</v>
      </c>
      <c r="C224" s="385" t="str">
        <f>Просчет!B289</f>
        <v>Матове покриття другої сторони, радіусний фрез. фасад кат.1</v>
      </c>
      <c r="D224" s="385"/>
      <c r="E224" s="385"/>
      <c r="F224" s="385"/>
      <c r="G224" s="385"/>
      <c r="H224" s="385"/>
      <c r="I224" s="93" t="str">
        <f>Просчет!J289</f>
        <v>м²</v>
      </c>
      <c r="J224" s="93">
        <f>ROUND(Просчет!K289,3)</f>
        <v>0</v>
      </c>
      <c r="K224" s="110">
        <f>Просчет!M289</f>
        <v>2955</v>
      </c>
      <c r="L224" s="111">
        <f t="shared" si="3"/>
        <v>0</v>
      </c>
    </row>
    <row r="225" spans="2:12" x14ac:dyDescent="0.2">
      <c r="B225" s="93">
        <f>SUBTOTAL(103,$C$21:$C225)</f>
        <v>205</v>
      </c>
      <c r="C225" s="385" t="str">
        <f>Просчет!B290</f>
        <v>Матове покриття другої сторони, радіусний фрез. фасад кат.2</v>
      </c>
      <c r="D225" s="385"/>
      <c r="E225" s="385"/>
      <c r="F225" s="385"/>
      <c r="G225" s="385"/>
      <c r="H225" s="385"/>
      <c r="I225" s="93" t="str">
        <f>Просчет!J290</f>
        <v>м²</v>
      </c>
      <c r="J225" s="93">
        <f>ROUND(Просчет!K290,3)</f>
        <v>0</v>
      </c>
      <c r="K225" s="110">
        <f>Просчет!M290</f>
        <v>3165</v>
      </c>
      <c r="L225" s="111">
        <f t="shared" si="3"/>
        <v>0</v>
      </c>
    </row>
    <row r="226" spans="2:12" x14ac:dyDescent="0.2">
      <c r="B226" s="93">
        <f>SUBTOTAL(103,$C$21:$C226)</f>
        <v>206</v>
      </c>
      <c r="C226" s="385" t="str">
        <f>Просчет!B291</f>
        <v>Софт покриття до 16 мм, радіусний фрез. фасад кат.1</v>
      </c>
      <c r="D226" s="385"/>
      <c r="E226" s="385"/>
      <c r="F226" s="385"/>
      <c r="G226" s="385"/>
      <c r="H226" s="385"/>
      <c r="I226" s="93" t="str">
        <f>Просчет!J291</f>
        <v>м²</v>
      </c>
      <c r="J226" s="93">
        <f>ROUND(Просчет!K291,3)</f>
        <v>0</v>
      </c>
      <c r="K226" s="110">
        <f>Просчет!M291</f>
        <v>5960</v>
      </c>
      <c r="L226" s="111">
        <f t="shared" si="3"/>
        <v>0</v>
      </c>
    </row>
    <row r="227" spans="2:12" x14ac:dyDescent="0.2">
      <c r="B227" s="93">
        <f>SUBTOTAL(103,$C$21:$C227)</f>
        <v>207</v>
      </c>
      <c r="C227" s="385" t="str">
        <f>Просчет!B292</f>
        <v>Софт покриття до 16 мм, радіусний фрез. фасад кат.2</v>
      </c>
      <c r="D227" s="385"/>
      <c r="E227" s="385"/>
      <c r="F227" s="385"/>
      <c r="G227" s="385"/>
      <c r="H227" s="385"/>
      <c r="I227" s="93" t="str">
        <f>Просчет!J292</f>
        <v>м²</v>
      </c>
      <c r="J227" s="93">
        <f>ROUND(Просчет!K292,3)</f>
        <v>0</v>
      </c>
      <c r="K227" s="110">
        <f>Просчет!M292</f>
        <v>6380</v>
      </c>
      <c r="L227" s="111">
        <f t="shared" si="3"/>
        <v>0</v>
      </c>
    </row>
    <row r="228" spans="2:12" x14ac:dyDescent="0.2">
      <c r="B228" s="93">
        <f>SUBTOTAL(103,$C$21:$C228)</f>
        <v>208</v>
      </c>
      <c r="C228" s="385" t="str">
        <f>Просчет!B293</f>
        <v>Софт покриття 19 мм, радіусний фрез. фасад кат.1</v>
      </c>
      <c r="D228" s="385"/>
      <c r="E228" s="385"/>
      <c r="F228" s="385"/>
      <c r="G228" s="385"/>
      <c r="H228" s="385"/>
      <c r="I228" s="93" t="str">
        <f>Просчет!J293</f>
        <v>м²</v>
      </c>
      <c r="J228" s="93">
        <f>ROUND(Просчет!K293,3)</f>
        <v>0</v>
      </c>
      <c r="K228" s="110">
        <f>Просчет!M293</f>
        <v>6030</v>
      </c>
      <c r="L228" s="111">
        <f t="shared" si="3"/>
        <v>0</v>
      </c>
    </row>
    <row r="229" spans="2:12" x14ac:dyDescent="0.2">
      <c r="B229" s="93">
        <f>SUBTOTAL(103,$C$21:$C229)</f>
        <v>209</v>
      </c>
      <c r="C229" s="385" t="str">
        <f>Просчет!B294</f>
        <v>Софт покриття 19 мм, радіусний фрез. фасад кат.2</v>
      </c>
      <c r="D229" s="385"/>
      <c r="E229" s="385"/>
      <c r="F229" s="385"/>
      <c r="G229" s="385"/>
      <c r="H229" s="385"/>
      <c r="I229" s="93" t="str">
        <f>Просчет!J294</f>
        <v>м²</v>
      </c>
      <c r="J229" s="93">
        <f>ROUND(Просчет!K294,3)</f>
        <v>0</v>
      </c>
      <c r="K229" s="110">
        <f>Просчет!M294</f>
        <v>6450</v>
      </c>
      <c r="L229" s="111">
        <f t="shared" si="3"/>
        <v>0</v>
      </c>
    </row>
    <row r="230" spans="2:12" x14ac:dyDescent="0.2">
      <c r="B230" s="93">
        <f>SUBTOTAL(103,$C$21:$C230)</f>
        <v>210</v>
      </c>
      <c r="C230" s="385" t="str">
        <f>Просчет!B295</f>
        <v>Софт покриття другої сторони, радіусний фрез. фасад кат.1</v>
      </c>
      <c r="D230" s="385"/>
      <c r="E230" s="385"/>
      <c r="F230" s="385"/>
      <c r="G230" s="385"/>
      <c r="H230" s="385"/>
      <c r="I230" s="93" t="str">
        <f>Просчет!J295</f>
        <v>м²</v>
      </c>
      <c r="J230" s="93">
        <f>ROUND(Просчет!K295,3)</f>
        <v>0</v>
      </c>
      <c r="K230" s="110">
        <f>Просчет!M295</f>
        <v>2980</v>
      </c>
      <c r="L230" s="111">
        <f t="shared" si="3"/>
        <v>0</v>
      </c>
    </row>
    <row r="231" spans="2:12" x14ac:dyDescent="0.2">
      <c r="B231" s="93">
        <f>SUBTOTAL(103,$C$21:$C231)</f>
        <v>211</v>
      </c>
      <c r="C231" s="385" t="str">
        <f>Просчет!B296</f>
        <v>Софт покриття другої сторони, радіусний фрез. фасад кат.2</v>
      </c>
      <c r="D231" s="385"/>
      <c r="E231" s="385"/>
      <c r="F231" s="385"/>
      <c r="G231" s="385"/>
      <c r="H231" s="385"/>
      <c r="I231" s="93" t="str">
        <f>Просчет!J296</f>
        <v>м²</v>
      </c>
      <c r="J231" s="93">
        <f>ROUND(Просчет!K296,3)</f>
        <v>0</v>
      </c>
      <c r="K231" s="110">
        <f>Просчет!M296</f>
        <v>3190</v>
      </c>
      <c r="L231" s="111">
        <f t="shared" si="3"/>
        <v>0</v>
      </c>
    </row>
    <row r="232" spans="2:12" x14ac:dyDescent="0.2">
      <c r="B232" s="93">
        <f>SUBTOTAL(103,$C$21:$C232)</f>
        <v>212</v>
      </c>
      <c r="C232" s="385" t="str">
        <f>Просчет!B297</f>
        <v>Глянцеве покриття з поліруванням до 16 мм, радіусний фрез. фасад кат.1</v>
      </c>
      <c r="D232" s="385"/>
      <c r="E232" s="385"/>
      <c r="F232" s="385"/>
      <c r="G232" s="385"/>
      <c r="H232" s="385"/>
      <c r="I232" s="93" t="str">
        <f>Просчет!J297</f>
        <v>м²</v>
      </c>
      <c r="J232" s="93">
        <f>ROUND(Просчет!K297,3)</f>
        <v>0</v>
      </c>
      <c r="K232" s="110">
        <f>Просчет!M297</f>
        <v>6470</v>
      </c>
      <c r="L232" s="111">
        <f t="shared" si="3"/>
        <v>0</v>
      </c>
    </row>
    <row r="233" spans="2:12" x14ac:dyDescent="0.2">
      <c r="B233" s="93">
        <f>SUBTOTAL(103,$C$21:$C233)</f>
        <v>213</v>
      </c>
      <c r="C233" s="385" t="str">
        <f>Просчет!B298</f>
        <v>Глянцеве покриття з поліруванням до 16 мм, радіусний фрез. фасад кат.2</v>
      </c>
      <c r="D233" s="385"/>
      <c r="E233" s="385"/>
      <c r="F233" s="385"/>
      <c r="G233" s="385"/>
      <c r="H233" s="385"/>
      <c r="I233" s="93" t="str">
        <f>Просчет!J298</f>
        <v>м²</v>
      </c>
      <c r="J233" s="93">
        <f>ROUND(Просчет!K298,3)</f>
        <v>0</v>
      </c>
      <c r="K233" s="110">
        <f>Просчет!M298</f>
        <v>6890</v>
      </c>
      <c r="L233" s="111">
        <f t="shared" si="3"/>
        <v>0</v>
      </c>
    </row>
    <row r="234" spans="2:12" x14ac:dyDescent="0.2">
      <c r="B234" s="93">
        <f>SUBTOTAL(103,$C$21:$C234)</f>
        <v>214</v>
      </c>
      <c r="C234" s="385" t="str">
        <f>Просчет!B299</f>
        <v>Глянцеве покриття з поліруванням 19 мм, радіусний фрез. фасад кат.1</v>
      </c>
      <c r="D234" s="385"/>
      <c r="E234" s="385"/>
      <c r="F234" s="385"/>
      <c r="G234" s="385"/>
      <c r="H234" s="385"/>
      <c r="I234" s="93" t="str">
        <f>Просчет!J299</f>
        <v>м²</v>
      </c>
      <c r="J234" s="93">
        <f>ROUND(Просчет!K299,3)</f>
        <v>0</v>
      </c>
      <c r="K234" s="110">
        <f>Просчет!M299</f>
        <v>6540</v>
      </c>
      <c r="L234" s="111">
        <f t="shared" si="3"/>
        <v>0</v>
      </c>
    </row>
    <row r="235" spans="2:12" x14ac:dyDescent="0.2">
      <c r="B235" s="93">
        <f>SUBTOTAL(103,$C$21:$C235)</f>
        <v>215</v>
      </c>
      <c r="C235" s="385" t="str">
        <f>Просчет!B300</f>
        <v>Глянцеве покриття з поліруванням 19 мм, радіусний фрез. фасад кат.2</v>
      </c>
      <c r="D235" s="385"/>
      <c r="E235" s="385"/>
      <c r="F235" s="385"/>
      <c r="G235" s="385"/>
      <c r="H235" s="385"/>
      <c r="I235" s="93" t="str">
        <f>Просчет!J300</f>
        <v>м²</v>
      </c>
      <c r="J235" s="93">
        <f>ROUND(Просчет!K300,3)</f>
        <v>0</v>
      </c>
      <c r="K235" s="110">
        <f>Просчет!M300</f>
        <v>6960</v>
      </c>
      <c r="L235" s="111">
        <f t="shared" si="3"/>
        <v>0</v>
      </c>
    </row>
    <row r="236" spans="2:12" x14ac:dyDescent="0.2">
      <c r="B236" s="93">
        <f>SUBTOTAL(103,$C$21:$C236)</f>
        <v>216</v>
      </c>
      <c r="C236" s="385" t="str">
        <f>Просчет!B301</f>
        <v>Глянцеве покриття другої сторони, радіусний фрез. фасад кат.1</v>
      </c>
      <c r="D236" s="385"/>
      <c r="E236" s="385"/>
      <c r="F236" s="385"/>
      <c r="G236" s="385"/>
      <c r="H236" s="385"/>
      <c r="I236" s="93" t="str">
        <f>Просчет!J301</f>
        <v>м²</v>
      </c>
      <c r="J236" s="93">
        <f>ROUND(Просчет!K301,3)</f>
        <v>0</v>
      </c>
      <c r="K236" s="110">
        <f>Просчет!M301</f>
        <v>3235</v>
      </c>
      <c r="L236" s="111">
        <f t="shared" si="3"/>
        <v>0</v>
      </c>
    </row>
    <row r="237" spans="2:12" x14ac:dyDescent="0.2">
      <c r="B237" s="93">
        <f>SUBTOTAL(103,$C$21:$C237)</f>
        <v>217</v>
      </c>
      <c r="C237" s="385" t="str">
        <f>Просчет!B302</f>
        <v>Глянцеве покриття другої сторони, радіусний фрез. фасад кат.2</v>
      </c>
      <c r="D237" s="385"/>
      <c r="E237" s="385"/>
      <c r="F237" s="385"/>
      <c r="G237" s="385"/>
      <c r="H237" s="385"/>
      <c r="I237" s="93" t="str">
        <f>Просчет!J302</f>
        <v>м²</v>
      </c>
      <c r="J237" s="93">
        <f>ROUND(Просчет!K302,3)</f>
        <v>0</v>
      </c>
      <c r="K237" s="110">
        <f>Просчет!M302</f>
        <v>3445</v>
      </c>
      <c r="L237" s="111">
        <f t="shared" si="3"/>
        <v>0</v>
      </c>
    </row>
    <row r="238" spans="2:12" x14ac:dyDescent="0.2">
      <c r="B238" s="93">
        <f>SUBTOTAL(103,$C$21:$C238)</f>
        <v>218</v>
      </c>
      <c r="C238" s="385" t="str">
        <f>Просчет!B303</f>
        <v>Спецефект Перламутр срібло/золото до 16 мм, радіусний фрез. фасад кат.1</v>
      </c>
      <c r="D238" s="385"/>
      <c r="E238" s="385"/>
      <c r="F238" s="385"/>
      <c r="G238" s="385"/>
      <c r="H238" s="385"/>
      <c r="I238" s="93" t="str">
        <f>Просчет!J303</f>
        <v>м²</v>
      </c>
      <c r="J238" s="93">
        <f>ROUND(Просчет!K303,3)</f>
        <v>0</v>
      </c>
      <c r="K238" s="110">
        <f>Просчет!M303</f>
        <v>6610</v>
      </c>
      <c r="L238" s="111">
        <f t="shared" si="3"/>
        <v>0</v>
      </c>
    </row>
    <row r="239" spans="2:12" x14ac:dyDescent="0.2">
      <c r="B239" s="93">
        <f>SUBTOTAL(103,$C$21:$C239)</f>
        <v>219</v>
      </c>
      <c r="C239" s="385" t="str">
        <f>Просчет!B304</f>
        <v>Спецефект Перламутр срібло/золото до 16 мм, радіусний фрез. фасад кат.2</v>
      </c>
      <c r="D239" s="385"/>
      <c r="E239" s="385"/>
      <c r="F239" s="385"/>
      <c r="G239" s="385"/>
      <c r="H239" s="385"/>
      <c r="I239" s="93" t="str">
        <f>Просчет!J304</f>
        <v>м²</v>
      </c>
      <c r="J239" s="93">
        <f>ROUND(Просчет!K304,3)</f>
        <v>0</v>
      </c>
      <c r="K239" s="110">
        <f>Просчет!M304</f>
        <v>7030</v>
      </c>
      <c r="L239" s="111">
        <f t="shared" si="3"/>
        <v>0</v>
      </c>
    </row>
    <row r="240" spans="2:12" x14ac:dyDescent="0.2">
      <c r="B240" s="93">
        <f>SUBTOTAL(103,$C$21:$C240)</f>
        <v>220</v>
      </c>
      <c r="C240" s="385" t="str">
        <f>Просчет!B305</f>
        <v>Спецефект Перламутр срібло/золото 19 мм, радіусний фрез. фасад кат.1</v>
      </c>
      <c r="D240" s="385"/>
      <c r="E240" s="385"/>
      <c r="F240" s="385"/>
      <c r="G240" s="385"/>
      <c r="H240" s="385"/>
      <c r="I240" s="93" t="str">
        <f>Просчет!J305</f>
        <v>м²</v>
      </c>
      <c r="J240" s="93">
        <f>ROUND(Просчет!K305,3)</f>
        <v>0</v>
      </c>
      <c r="K240" s="110">
        <f>Просчет!M305</f>
        <v>6680</v>
      </c>
      <c r="L240" s="111">
        <f t="shared" si="3"/>
        <v>0</v>
      </c>
    </row>
    <row r="241" spans="2:12" x14ac:dyDescent="0.2">
      <c r="B241" s="93">
        <f>SUBTOTAL(103,$C$21:$C241)</f>
        <v>221</v>
      </c>
      <c r="C241" s="385" t="str">
        <f>Просчет!B306</f>
        <v>Спецефект Перламутр срібло/золото 19 мм, радіусний фрез. фасад кат.2</v>
      </c>
      <c r="D241" s="385"/>
      <c r="E241" s="385"/>
      <c r="F241" s="385"/>
      <c r="G241" s="385"/>
      <c r="H241" s="385"/>
      <c r="I241" s="93" t="str">
        <f>Просчет!J306</f>
        <v>м²</v>
      </c>
      <c r="J241" s="93">
        <f>ROUND(Просчет!K306,3)</f>
        <v>0</v>
      </c>
      <c r="K241" s="110">
        <f>Просчет!M306</f>
        <v>7100</v>
      </c>
      <c r="L241" s="111">
        <f t="shared" si="3"/>
        <v>0</v>
      </c>
    </row>
    <row r="242" spans="2:12" x14ac:dyDescent="0.2">
      <c r="B242" s="93">
        <f>SUBTOTAL(103,$C$21:$C242)</f>
        <v>222</v>
      </c>
      <c r="C242" s="385" t="str">
        <f>Просчет!B307</f>
        <v>Спецефект Перламутр срібло/золото покриття другої сторони, радіусний фрез. фасад кат.1</v>
      </c>
      <c r="D242" s="385"/>
      <c r="E242" s="385"/>
      <c r="F242" s="385"/>
      <c r="G242" s="385"/>
      <c r="H242" s="385"/>
      <c r="I242" s="93" t="str">
        <f>Просчет!J307</f>
        <v>м²</v>
      </c>
      <c r="J242" s="93">
        <f>ROUND(Просчет!K307,3)</f>
        <v>0</v>
      </c>
      <c r="K242" s="110">
        <f>Просчет!M307</f>
        <v>0</v>
      </c>
      <c r="L242" s="111">
        <f t="shared" si="3"/>
        <v>0</v>
      </c>
    </row>
    <row r="243" spans="2:12" x14ac:dyDescent="0.2">
      <c r="B243" s="93">
        <f>SUBTOTAL(103,$C$21:$C243)</f>
        <v>223</v>
      </c>
      <c r="C243" s="385" t="str">
        <f>Просчет!B308</f>
        <v>Спецефект Перламутр срібло/золото покриття другої сторони, радіусний фрез. фасад кат.2</v>
      </c>
      <c r="D243" s="385"/>
      <c r="E243" s="385"/>
      <c r="F243" s="385"/>
      <c r="G243" s="385"/>
      <c r="H243" s="385"/>
      <c r="I243" s="93" t="str">
        <f>Просчет!J308</f>
        <v>м²</v>
      </c>
      <c r="J243" s="93">
        <f>ROUND(Просчет!K308,3)</f>
        <v>0</v>
      </c>
      <c r="K243" s="110">
        <f>Просчет!M308</f>
        <v>0</v>
      </c>
      <c r="L243" s="111">
        <f t="shared" si="3"/>
        <v>0</v>
      </c>
    </row>
    <row r="244" spans="2:12" x14ac:dyDescent="0.2">
      <c r="B244" s="93">
        <f>SUBTOTAL(103,$C$21:$C244)</f>
        <v>224</v>
      </c>
      <c r="C244" s="385" t="str">
        <f>Просчет!B309</f>
        <v>Спецефект Автометалік Mobihel до 16 мм, радіусний фрез. фасад кат.1</v>
      </c>
      <c r="D244" s="385"/>
      <c r="E244" s="385"/>
      <c r="F244" s="385"/>
      <c r="G244" s="385"/>
      <c r="H244" s="385"/>
      <c r="I244" s="93" t="str">
        <f>Просчет!J309</f>
        <v>м²</v>
      </c>
      <c r="J244" s="93">
        <f>ROUND(Просчет!K309,3)</f>
        <v>0</v>
      </c>
      <c r="K244" s="110">
        <f>Просчет!M309</f>
        <v>6750</v>
      </c>
      <c r="L244" s="111">
        <f t="shared" si="3"/>
        <v>0</v>
      </c>
    </row>
    <row r="245" spans="2:12" x14ac:dyDescent="0.2">
      <c r="B245" s="93">
        <f>SUBTOTAL(103,$C$21:$C245)</f>
        <v>225</v>
      </c>
      <c r="C245" s="385" t="str">
        <f>Просчет!B310</f>
        <v>Спецефект Автометалік Mobihel до 16 мм, радіусний фрез. фасад кат.2</v>
      </c>
      <c r="D245" s="385"/>
      <c r="E245" s="385"/>
      <c r="F245" s="385"/>
      <c r="G245" s="385"/>
      <c r="H245" s="385"/>
      <c r="I245" s="93" t="str">
        <f>Просчет!J310</f>
        <v>м²</v>
      </c>
      <c r="J245" s="93">
        <f>ROUND(Просчет!K310,3)</f>
        <v>0</v>
      </c>
      <c r="K245" s="110">
        <f>Просчет!M310</f>
        <v>7170</v>
      </c>
      <c r="L245" s="111">
        <f t="shared" si="3"/>
        <v>0</v>
      </c>
    </row>
    <row r="246" spans="2:12" x14ac:dyDescent="0.2">
      <c r="B246" s="93">
        <f>SUBTOTAL(103,$C$21:$C246)</f>
        <v>226</v>
      </c>
      <c r="C246" s="385" t="str">
        <f>Просчет!B311</f>
        <v>Спецефект Автометалік Mobihel 19 мм, радіусний фрез. фасад кат.1</v>
      </c>
      <c r="D246" s="385"/>
      <c r="E246" s="385"/>
      <c r="F246" s="385"/>
      <c r="G246" s="385"/>
      <c r="H246" s="385"/>
      <c r="I246" s="93" t="str">
        <f>Просчет!J311</f>
        <v>м²</v>
      </c>
      <c r="J246" s="93">
        <f>ROUND(Просчет!K311,3)</f>
        <v>0</v>
      </c>
      <c r="K246" s="110">
        <f>Просчет!M311</f>
        <v>6820</v>
      </c>
      <c r="L246" s="111">
        <f t="shared" si="3"/>
        <v>0</v>
      </c>
    </row>
    <row r="247" spans="2:12" x14ac:dyDescent="0.2">
      <c r="B247" s="93">
        <f>SUBTOTAL(103,$C$21:$C247)</f>
        <v>227</v>
      </c>
      <c r="C247" s="385" t="str">
        <f>Просчет!B312</f>
        <v>Спецефект Автометалік Mobihel 19 мм, радіусний фрез. фасад кат.2</v>
      </c>
      <c r="D247" s="385"/>
      <c r="E247" s="385"/>
      <c r="F247" s="385"/>
      <c r="G247" s="385"/>
      <c r="H247" s="385"/>
      <c r="I247" s="93" t="str">
        <f>Просчет!J312</f>
        <v>м²</v>
      </c>
      <c r="J247" s="93">
        <f>ROUND(Просчет!K312,3)</f>
        <v>0</v>
      </c>
      <c r="K247" s="110">
        <f>Просчет!M312</f>
        <v>7240</v>
      </c>
      <c r="L247" s="111">
        <f t="shared" si="3"/>
        <v>0</v>
      </c>
    </row>
    <row r="248" spans="2:12" x14ac:dyDescent="0.2">
      <c r="B248" s="93">
        <f>SUBTOTAL(103,$C$21:$C248)</f>
        <v>228</v>
      </c>
      <c r="C248" s="385" t="str">
        <f>Просчет!B313</f>
        <v>Спецефект Автометалік Mobihel покриття другої сторони, радіусний фрез. фасад кат.1</v>
      </c>
      <c r="D248" s="385"/>
      <c r="E248" s="385"/>
      <c r="F248" s="385"/>
      <c r="G248" s="385"/>
      <c r="H248" s="385"/>
      <c r="I248" s="93" t="str">
        <f>Просчет!J313</f>
        <v>м²</v>
      </c>
      <c r="J248" s="93">
        <f>ROUND(Просчет!K313,3)</f>
        <v>0</v>
      </c>
      <c r="K248" s="110">
        <f>Просчет!M313</f>
        <v>0</v>
      </c>
      <c r="L248" s="111">
        <f t="shared" si="3"/>
        <v>0</v>
      </c>
    </row>
    <row r="249" spans="2:12" x14ac:dyDescent="0.2">
      <c r="B249" s="93">
        <f>SUBTOTAL(103,$C$21:$C249)</f>
        <v>229</v>
      </c>
      <c r="C249" s="385" t="str">
        <f>Просчет!B314</f>
        <v>Спецефект Автометалік Mobihel покриття другої сторони, радіусний фрез. фасад кат.2</v>
      </c>
      <c r="D249" s="385"/>
      <c r="E249" s="385"/>
      <c r="F249" s="385"/>
      <c r="G249" s="385"/>
      <c r="H249" s="385"/>
      <c r="I249" s="93" t="str">
        <f>Просчет!J314</f>
        <v>м²</v>
      </c>
      <c r="J249" s="93">
        <f>ROUND(Просчет!K314,3)</f>
        <v>0</v>
      </c>
      <c r="K249" s="110">
        <f>Просчет!M314</f>
        <v>0</v>
      </c>
      <c r="L249" s="111">
        <f t="shared" si="3"/>
        <v>0</v>
      </c>
    </row>
    <row r="250" spans="2:12" x14ac:dyDescent="0.2">
      <c r="B250" s="93">
        <f>SUBTOTAL(103,$C$21:$C250)</f>
        <v>230</v>
      </c>
      <c r="C250" s="385" t="str">
        <f>Просчет!B315</f>
        <v>Спецефект Гума (антивандальний) до 16 мм, радіусний фрез. фасад кат.1</v>
      </c>
      <c r="D250" s="385"/>
      <c r="E250" s="385"/>
      <c r="F250" s="385"/>
      <c r="G250" s="385"/>
      <c r="H250" s="385"/>
      <c r="I250" s="93" t="str">
        <f>Просчет!J315</f>
        <v>м²</v>
      </c>
      <c r="J250" s="93">
        <f>ROUND(Просчет!K315,3)</f>
        <v>0</v>
      </c>
      <c r="K250" s="110">
        <f>Просчет!M315</f>
        <v>7030</v>
      </c>
      <c r="L250" s="111">
        <f t="shared" si="3"/>
        <v>0</v>
      </c>
    </row>
    <row r="251" spans="2:12" x14ac:dyDescent="0.2">
      <c r="B251" s="93">
        <f>SUBTOTAL(103,$C$21:$C251)</f>
        <v>231</v>
      </c>
      <c r="C251" s="385" t="str">
        <f>Просчет!B316</f>
        <v>Спецефект Гума (антивандальний)до 16 мм, радіусний фрез. фасад кат.2</v>
      </c>
      <c r="D251" s="385"/>
      <c r="E251" s="385"/>
      <c r="F251" s="385"/>
      <c r="G251" s="385"/>
      <c r="H251" s="385"/>
      <c r="I251" s="93" t="str">
        <f>Просчет!J316</f>
        <v>м²</v>
      </c>
      <c r="J251" s="93">
        <f>ROUND(Просчет!K316,3)</f>
        <v>0</v>
      </c>
      <c r="K251" s="110">
        <f>Просчет!M316</f>
        <v>7030</v>
      </c>
      <c r="L251" s="111">
        <f t="shared" si="3"/>
        <v>0</v>
      </c>
    </row>
    <row r="252" spans="2:12" x14ac:dyDescent="0.2">
      <c r="B252" s="93">
        <f>SUBTOTAL(103,$C$21:$C252)</f>
        <v>232</v>
      </c>
      <c r="C252" s="385" t="str">
        <f>Просчет!B317</f>
        <v>Спецефект Гума (антивандальний) 19 мм, радіусний фрез. фасад кат.1</v>
      </c>
      <c r="D252" s="385"/>
      <c r="E252" s="385"/>
      <c r="F252" s="385"/>
      <c r="G252" s="385"/>
      <c r="H252" s="385"/>
      <c r="I252" s="93" t="str">
        <f>Просчет!J317</f>
        <v>м²</v>
      </c>
      <c r="J252" s="93">
        <f>ROUND(Просчет!K317,3)</f>
        <v>0</v>
      </c>
      <c r="K252" s="110">
        <f>Просчет!M317</f>
        <v>6680</v>
      </c>
      <c r="L252" s="111">
        <f t="shared" si="3"/>
        <v>0</v>
      </c>
    </row>
    <row r="253" spans="2:12" x14ac:dyDescent="0.2">
      <c r="B253" s="93">
        <f>SUBTOTAL(103,$C$21:$C253)</f>
        <v>233</v>
      </c>
      <c r="C253" s="385" t="str">
        <f>Просчет!B318</f>
        <v>Спецефект Гума (антивандальний) 19 мм, радіусний фрез. фасад кат.2</v>
      </c>
      <c r="D253" s="385"/>
      <c r="E253" s="385"/>
      <c r="F253" s="385"/>
      <c r="G253" s="385"/>
      <c r="H253" s="385"/>
      <c r="I253" s="93" t="str">
        <f>Просчет!J318</f>
        <v>м²</v>
      </c>
      <c r="J253" s="93">
        <f>ROUND(Просчет!K318,3)</f>
        <v>0</v>
      </c>
      <c r="K253" s="110">
        <f>Просчет!M318</f>
        <v>7100</v>
      </c>
      <c r="L253" s="111">
        <f t="shared" si="3"/>
        <v>0</v>
      </c>
    </row>
    <row r="254" spans="2:12" x14ac:dyDescent="0.2">
      <c r="B254" s="93">
        <f>SUBTOTAL(103,$C$21:$C254)</f>
        <v>234</v>
      </c>
      <c r="C254" s="385" t="str">
        <f>Просчет!B319</f>
        <v>Спецефект Гума (антивандальний) покриття другої сторони, радіусний фрез. фасад кат.1</v>
      </c>
      <c r="D254" s="385"/>
      <c r="E254" s="385"/>
      <c r="F254" s="385"/>
      <c r="G254" s="385"/>
      <c r="H254" s="385"/>
      <c r="I254" s="93" t="str">
        <f>Просчет!J319</f>
        <v>м²</v>
      </c>
      <c r="J254" s="93">
        <f>ROUND(Просчет!K319,3)</f>
        <v>0</v>
      </c>
      <c r="K254" s="110">
        <f>Просчет!M319</f>
        <v>0</v>
      </c>
      <c r="L254" s="111">
        <f t="shared" si="3"/>
        <v>0</v>
      </c>
    </row>
    <row r="255" spans="2:12" x14ac:dyDescent="0.2">
      <c r="B255" s="93">
        <f>SUBTOTAL(103,$C$21:$C255)</f>
        <v>235</v>
      </c>
      <c r="C255" s="385" t="str">
        <f>Просчет!B320</f>
        <v>Спецефект Гума (антивандальний) покриття другої сторони, радіусний фрез. фасад кат.2</v>
      </c>
      <c r="D255" s="385"/>
      <c r="E255" s="385"/>
      <c r="F255" s="385"/>
      <c r="G255" s="385"/>
      <c r="H255" s="385"/>
      <c r="I255" s="93" t="str">
        <f>Просчет!J320</f>
        <v>м²</v>
      </c>
      <c r="J255" s="93">
        <f>ROUND(Просчет!K320,3)</f>
        <v>0</v>
      </c>
      <c r="K255" s="110">
        <f>Просчет!M320</f>
        <v>0</v>
      </c>
      <c r="L255" s="111">
        <f t="shared" si="3"/>
        <v>0</v>
      </c>
    </row>
    <row r="256" spans="2:12" x14ac:dyDescent="0.2">
      <c r="B256" s="93">
        <f>SUBTOTAL(103,$C$21:$C256)</f>
        <v>236</v>
      </c>
      <c r="C256" s="385" t="str">
        <f>Просчет!B321</f>
        <v>Спецефект Рідке скло (антивандальний) до 16 мм, радіусний фрез. фасад кат.1</v>
      </c>
      <c r="D256" s="385"/>
      <c r="E256" s="385"/>
      <c r="F256" s="385"/>
      <c r="G256" s="385"/>
      <c r="H256" s="385"/>
      <c r="I256" s="93" t="str">
        <f>Просчет!J321</f>
        <v>м²</v>
      </c>
      <c r="J256" s="93">
        <f>ROUND(Просчет!K321,3)</f>
        <v>0</v>
      </c>
      <c r="K256" s="110">
        <f>Просчет!M321</f>
        <v>6750</v>
      </c>
      <c r="L256" s="111">
        <f t="shared" si="3"/>
        <v>0</v>
      </c>
    </row>
    <row r="257" spans="2:12" x14ac:dyDescent="0.2">
      <c r="B257" s="93">
        <f>SUBTOTAL(103,$C$21:$C257)</f>
        <v>237</v>
      </c>
      <c r="C257" s="385" t="str">
        <f>Просчет!B322</f>
        <v>Спецефект Рідке скло (антивандальний) до 16 мм, радіусний фрез. фасад кат.2</v>
      </c>
      <c r="D257" s="385"/>
      <c r="E257" s="385"/>
      <c r="F257" s="385"/>
      <c r="G257" s="385"/>
      <c r="H257" s="385"/>
      <c r="I257" s="93" t="str">
        <f>Просчет!J322</f>
        <v>м²</v>
      </c>
      <c r="J257" s="93">
        <f>ROUND(Просчет!K322,3)</f>
        <v>0</v>
      </c>
      <c r="K257" s="110">
        <f>Просчет!M322</f>
        <v>7170</v>
      </c>
      <c r="L257" s="111">
        <f t="shared" si="3"/>
        <v>0</v>
      </c>
    </row>
    <row r="258" spans="2:12" x14ac:dyDescent="0.2">
      <c r="B258" s="93">
        <f>SUBTOTAL(103,$C$21:$C258)</f>
        <v>238</v>
      </c>
      <c r="C258" s="385" t="str">
        <f>Просчет!B323</f>
        <v>Спецефект Рідке скло (антивандальний) 19 мм, радіусний фрез. фасад кат.1</v>
      </c>
      <c r="D258" s="385"/>
      <c r="E258" s="385"/>
      <c r="F258" s="385"/>
      <c r="G258" s="385"/>
      <c r="H258" s="385"/>
      <c r="I258" s="93" t="str">
        <f>Просчет!J323</f>
        <v>м²</v>
      </c>
      <c r="J258" s="93">
        <f>ROUND(Просчет!K323,3)</f>
        <v>0</v>
      </c>
      <c r="K258" s="110">
        <f>Просчет!M323</f>
        <v>6820</v>
      </c>
      <c r="L258" s="111">
        <f t="shared" si="3"/>
        <v>0</v>
      </c>
    </row>
    <row r="259" spans="2:12" x14ac:dyDescent="0.2">
      <c r="B259" s="93">
        <f>SUBTOTAL(103,$C$21:$C259)</f>
        <v>239</v>
      </c>
      <c r="C259" s="385" t="str">
        <f>Просчет!B324</f>
        <v>Спецефект Рідке скло (антивандальний) 19 мм, радіусний фрез. фасад кат.2</v>
      </c>
      <c r="D259" s="385"/>
      <c r="E259" s="385"/>
      <c r="F259" s="385"/>
      <c r="G259" s="385"/>
      <c r="H259" s="385"/>
      <c r="I259" s="93" t="str">
        <f>Просчет!J324</f>
        <v>м²</v>
      </c>
      <c r="J259" s="93">
        <f>ROUND(Просчет!K324,3)</f>
        <v>0</v>
      </c>
      <c r="K259" s="110">
        <f>Просчет!M324</f>
        <v>7240</v>
      </c>
      <c r="L259" s="111">
        <f t="shared" si="3"/>
        <v>0</v>
      </c>
    </row>
    <row r="260" spans="2:12" x14ac:dyDescent="0.2">
      <c r="B260" s="93">
        <f>SUBTOTAL(103,$C$21:$C260)</f>
        <v>240</v>
      </c>
      <c r="C260" s="385" t="str">
        <f>Просчет!B325</f>
        <v>Спецефект Рідке скло (антивандальний) покриття другої сторони, радіусний фрез. фасад кат.1</v>
      </c>
      <c r="D260" s="385"/>
      <c r="E260" s="385"/>
      <c r="F260" s="385"/>
      <c r="G260" s="385"/>
      <c r="H260" s="385"/>
      <c r="I260" s="93" t="str">
        <f>Просчет!J325</f>
        <v>м²</v>
      </c>
      <c r="J260" s="93">
        <f>ROUND(Просчет!K325,3)</f>
        <v>0</v>
      </c>
      <c r="K260" s="110">
        <f>Просчет!M325</f>
        <v>0</v>
      </c>
      <c r="L260" s="111">
        <f t="shared" si="3"/>
        <v>0</v>
      </c>
    </row>
    <row r="261" spans="2:12" x14ac:dyDescent="0.2">
      <c r="B261" s="93">
        <f>SUBTOTAL(103,$C$21:$C261)</f>
        <v>241</v>
      </c>
      <c r="C261" s="385" t="str">
        <f>Просчет!B326</f>
        <v>Спецефект Рідке скло (антивандальний) покриття другої сторони, радіусний фрез. фасад кат.2</v>
      </c>
      <c r="D261" s="385"/>
      <c r="E261" s="385"/>
      <c r="F261" s="385"/>
      <c r="G261" s="385"/>
      <c r="H261" s="385"/>
      <c r="I261" s="93" t="str">
        <f>Просчет!J326</f>
        <v>м²</v>
      </c>
      <c r="J261" s="93">
        <f>ROUND(Просчет!K326,3)</f>
        <v>0</v>
      </c>
      <c r="K261" s="110">
        <f>Просчет!M326</f>
        <v>0</v>
      </c>
      <c r="L261" s="111">
        <f t="shared" si="3"/>
        <v>0</v>
      </c>
    </row>
    <row r="262" spans="2:12" x14ac:dyDescent="0.2">
      <c r="B262" s="93">
        <f>SUBTOTAL(103,$C$21:$C262)</f>
        <v>242</v>
      </c>
      <c r="C262" s="385" t="str">
        <f>Просчет!B327</f>
        <v>Спецефект Перли, Графіт до 16 мм, радіусний фрез. фасад кат.1</v>
      </c>
      <c r="D262" s="385"/>
      <c r="E262" s="385"/>
      <c r="F262" s="385"/>
      <c r="G262" s="385"/>
      <c r="H262" s="385"/>
      <c r="I262" s="93" t="str">
        <f>Просчет!J327</f>
        <v>м²</v>
      </c>
      <c r="J262" s="93">
        <f>ROUND(Просчет!K327,3)</f>
        <v>0</v>
      </c>
      <c r="K262" s="110">
        <f>Просчет!M327</f>
        <v>6890</v>
      </c>
      <c r="L262" s="111">
        <f t="shared" si="3"/>
        <v>0</v>
      </c>
    </row>
    <row r="263" spans="2:12" x14ac:dyDescent="0.2">
      <c r="B263" s="93">
        <f>SUBTOTAL(103,$C$21:$C263)</f>
        <v>243</v>
      </c>
      <c r="C263" s="385" t="str">
        <f>Просчет!B328</f>
        <v>Спецефект Перли, Графіт до 16 мм, радіусний фрез. фасад кат.2</v>
      </c>
      <c r="D263" s="385"/>
      <c r="E263" s="385"/>
      <c r="F263" s="385"/>
      <c r="G263" s="385"/>
      <c r="H263" s="385"/>
      <c r="I263" s="93" t="str">
        <f>Просчет!J328</f>
        <v>м²</v>
      </c>
      <c r="J263" s="93">
        <f>ROUND(Просчет!K328,3)</f>
        <v>0</v>
      </c>
      <c r="K263" s="110">
        <f>Просчет!M328</f>
        <v>7310</v>
      </c>
      <c r="L263" s="111">
        <f t="shared" si="3"/>
        <v>0</v>
      </c>
    </row>
    <row r="264" spans="2:12" x14ac:dyDescent="0.2">
      <c r="B264" s="93">
        <f>SUBTOTAL(103,$C$21:$C264)</f>
        <v>244</v>
      </c>
      <c r="C264" s="385" t="str">
        <f>Просчет!B329</f>
        <v>Спецефект Перли, Графіт 19 мм, радіусний фрез. фасад кат.1</v>
      </c>
      <c r="D264" s="385"/>
      <c r="E264" s="385"/>
      <c r="F264" s="385"/>
      <c r="G264" s="385"/>
      <c r="H264" s="385"/>
      <c r="I264" s="93" t="str">
        <f>Просчет!J329</f>
        <v>м²</v>
      </c>
      <c r="J264" s="93">
        <f>ROUND(Просчет!K329,3)</f>
        <v>0</v>
      </c>
      <c r="K264" s="110">
        <f>Просчет!M329</f>
        <v>6960</v>
      </c>
      <c r="L264" s="111">
        <f t="shared" si="3"/>
        <v>0</v>
      </c>
    </row>
    <row r="265" spans="2:12" x14ac:dyDescent="0.2">
      <c r="B265" s="93">
        <f>SUBTOTAL(103,$C$21:$C265)</f>
        <v>245</v>
      </c>
      <c r="C265" s="385" t="str">
        <f>Просчет!B330</f>
        <v>Спецефект Перли, Графіт 19 мм, радіусний фрез. фасад кат.2</v>
      </c>
      <c r="D265" s="385"/>
      <c r="E265" s="385"/>
      <c r="F265" s="385"/>
      <c r="G265" s="385"/>
      <c r="H265" s="385"/>
      <c r="I265" s="93" t="str">
        <f>Просчет!J330</f>
        <v>м²</v>
      </c>
      <c r="J265" s="93">
        <f>ROUND(Просчет!K330,3)</f>
        <v>0</v>
      </c>
      <c r="K265" s="110">
        <f>Просчет!M330</f>
        <v>7380</v>
      </c>
      <c r="L265" s="111">
        <f t="shared" si="3"/>
        <v>0</v>
      </c>
    </row>
    <row r="266" spans="2:12" x14ac:dyDescent="0.2">
      <c r="B266" s="93">
        <f>SUBTOTAL(103,$C$21:$C266)</f>
        <v>246</v>
      </c>
      <c r="C266" s="385" t="str">
        <f>Просчет!B331</f>
        <v>Спецефект Перли, Графіт покриття другої сторони, радіусний фрез. фасад кат.1</v>
      </c>
      <c r="D266" s="385"/>
      <c r="E266" s="385"/>
      <c r="F266" s="385"/>
      <c r="G266" s="385"/>
      <c r="H266" s="385"/>
      <c r="I266" s="93" t="str">
        <f>Просчет!J331</f>
        <v>м²</v>
      </c>
      <c r="J266" s="93">
        <f>ROUND(Просчет!K331,3)</f>
        <v>0</v>
      </c>
      <c r="K266" s="110">
        <f>Просчет!M331</f>
        <v>0</v>
      </c>
      <c r="L266" s="111">
        <f t="shared" si="3"/>
        <v>0</v>
      </c>
    </row>
    <row r="267" spans="2:12" x14ac:dyDescent="0.2">
      <c r="B267" s="93">
        <f>SUBTOTAL(103,$C$21:$C267)</f>
        <v>247</v>
      </c>
      <c r="C267" s="385" t="str">
        <f>Просчет!B332</f>
        <v>Спецефект Перли, Графіт покриття другої сторони, радіусний фрез. фасад кат.2</v>
      </c>
      <c r="D267" s="385"/>
      <c r="E267" s="385"/>
      <c r="F267" s="385"/>
      <c r="G267" s="385"/>
      <c r="H267" s="385"/>
      <c r="I267" s="93" t="str">
        <f>Просчет!J332</f>
        <v>м²</v>
      </c>
      <c r="J267" s="93">
        <f>ROUND(Просчет!K332,3)</f>
        <v>0</v>
      </c>
      <c r="K267" s="110">
        <f>Просчет!M332</f>
        <v>0</v>
      </c>
      <c r="L267" s="111">
        <f t="shared" si="3"/>
        <v>0</v>
      </c>
    </row>
    <row r="268" spans="2:12" x14ac:dyDescent="0.2">
      <c r="B268" s="93">
        <f>SUBTOTAL(103,$C$21:$C268)</f>
        <v>248</v>
      </c>
      <c r="C268" s="385" t="str">
        <f>Просчет!B333</f>
        <v>Спецефект Зоряне небо до 16 мм, радіусний фрез. фасад кат.1</v>
      </c>
      <c r="D268" s="385"/>
      <c r="E268" s="385"/>
      <c r="F268" s="385"/>
      <c r="G268" s="385"/>
      <c r="H268" s="385"/>
      <c r="I268" s="93" t="str">
        <f>Просчет!J333</f>
        <v>м²</v>
      </c>
      <c r="J268" s="93">
        <f>ROUND(Просчет!K333,3)</f>
        <v>0</v>
      </c>
      <c r="K268" s="110">
        <f>Просчет!M333</f>
        <v>7030</v>
      </c>
      <c r="L268" s="111">
        <f t="shared" si="3"/>
        <v>0</v>
      </c>
    </row>
    <row r="269" spans="2:12" x14ac:dyDescent="0.2">
      <c r="B269" s="93">
        <f>SUBTOTAL(103,$C$21:$C269)</f>
        <v>249</v>
      </c>
      <c r="C269" s="385" t="str">
        <f>Просчет!B334</f>
        <v>Спецефект Зоряне небо до 16 мм, радіусний фрез. фасад кат.2</v>
      </c>
      <c r="D269" s="385"/>
      <c r="E269" s="385"/>
      <c r="F269" s="385"/>
      <c r="G269" s="385"/>
      <c r="H269" s="385"/>
      <c r="I269" s="93" t="str">
        <f>Просчет!J334</f>
        <v>м²</v>
      </c>
      <c r="J269" s="93">
        <f>ROUND(Просчет!K334,3)</f>
        <v>0</v>
      </c>
      <c r="K269" s="110">
        <f>Просчет!M334</f>
        <v>7450</v>
      </c>
      <c r="L269" s="111">
        <f t="shared" si="3"/>
        <v>0</v>
      </c>
    </row>
    <row r="270" spans="2:12" x14ac:dyDescent="0.2">
      <c r="B270" s="93">
        <f>SUBTOTAL(103,$C$21:$C270)</f>
        <v>250</v>
      </c>
      <c r="C270" s="385" t="str">
        <f>Просчет!B335</f>
        <v>Спецефект Зоряне небо 19 мм, радіусний фрез. фасад кат.1</v>
      </c>
      <c r="D270" s="385"/>
      <c r="E270" s="385"/>
      <c r="F270" s="385"/>
      <c r="G270" s="385"/>
      <c r="H270" s="385"/>
      <c r="I270" s="93" t="str">
        <f>Просчет!J335</f>
        <v>м²</v>
      </c>
      <c r="J270" s="93">
        <f>ROUND(Просчет!K335,3)</f>
        <v>0</v>
      </c>
      <c r="K270" s="110">
        <f>Просчет!M335</f>
        <v>7100</v>
      </c>
      <c r="L270" s="111">
        <f t="shared" si="3"/>
        <v>0</v>
      </c>
    </row>
    <row r="271" spans="2:12" x14ac:dyDescent="0.2">
      <c r="B271" s="93">
        <f>SUBTOTAL(103,$C$21:$C271)</f>
        <v>251</v>
      </c>
      <c r="C271" s="385" t="str">
        <f>Просчет!B336</f>
        <v>Спецефект Зоряне небо 19 мм, радіусний фрез. фасад кат.2</v>
      </c>
      <c r="D271" s="385"/>
      <c r="E271" s="385"/>
      <c r="F271" s="385"/>
      <c r="G271" s="385"/>
      <c r="H271" s="385"/>
      <c r="I271" s="93" t="str">
        <f>Просчет!J336</f>
        <v>м²</v>
      </c>
      <c r="J271" s="93">
        <f>ROUND(Просчет!K336,3)</f>
        <v>0</v>
      </c>
      <c r="K271" s="110">
        <f>Просчет!M336</f>
        <v>7520</v>
      </c>
      <c r="L271" s="111">
        <f t="shared" si="3"/>
        <v>0</v>
      </c>
    </row>
    <row r="272" spans="2:12" x14ac:dyDescent="0.2">
      <c r="B272" s="93">
        <f>SUBTOTAL(103,$C$21:$C272)</f>
        <v>252</v>
      </c>
      <c r="C272" s="385" t="str">
        <f>Просчет!B337</f>
        <v>Спецефект Зоряне небо покриття другої сторони, радіусний фрез. фасад кат.1</v>
      </c>
      <c r="D272" s="385"/>
      <c r="E272" s="385"/>
      <c r="F272" s="385"/>
      <c r="G272" s="385"/>
      <c r="H272" s="385"/>
      <c r="I272" s="93" t="str">
        <f>Просчет!J337</f>
        <v>м²</v>
      </c>
      <c r="J272" s="93">
        <f>ROUND(Просчет!K337,3)</f>
        <v>0</v>
      </c>
      <c r="K272" s="110">
        <f>Просчет!M337</f>
        <v>0</v>
      </c>
      <c r="L272" s="111">
        <f t="shared" si="3"/>
        <v>0</v>
      </c>
    </row>
    <row r="273" spans="2:12" x14ac:dyDescent="0.2">
      <c r="B273" s="93">
        <f>SUBTOTAL(103,$C$21:$C273)</f>
        <v>253</v>
      </c>
      <c r="C273" s="385" t="str">
        <f>Просчет!B338</f>
        <v>Спецефект Зоряне небо покриття другої сторони, радіусний фрез. фасад кат.2</v>
      </c>
      <c r="D273" s="385"/>
      <c r="E273" s="385"/>
      <c r="F273" s="385"/>
      <c r="G273" s="385"/>
      <c r="H273" s="385"/>
      <c r="I273" s="93" t="str">
        <f>Просчет!J338</f>
        <v>м²</v>
      </c>
      <c r="J273" s="93">
        <f>ROUND(Просчет!K338,3)</f>
        <v>0</v>
      </c>
      <c r="K273" s="110">
        <f>Просчет!M338</f>
        <v>0</v>
      </c>
      <c r="L273" s="111">
        <f t="shared" si="3"/>
        <v>0</v>
      </c>
    </row>
    <row r="274" spans="2:12" x14ac:dyDescent="0.2">
      <c r="B274" s="93">
        <f>SUBTOTAL(103,$C$21:$C274)</f>
        <v>254</v>
      </c>
      <c r="C274" s="385" t="str">
        <f>Просчет!B339</f>
        <v>Матове покриття з патиною 16 мм, радіусний фрез. фасад кат.1</v>
      </c>
      <c r="D274" s="385"/>
      <c r="E274" s="385"/>
      <c r="F274" s="385"/>
      <c r="G274" s="385"/>
      <c r="H274" s="385"/>
      <c r="I274" s="93" t="str">
        <f>Просчет!J339</f>
        <v>м²</v>
      </c>
      <c r="J274" s="93">
        <f>ROUND(Просчет!K339,3)</f>
        <v>0</v>
      </c>
      <c r="K274" s="110">
        <f>Просчет!M339</f>
        <v>6330</v>
      </c>
      <c r="L274" s="111">
        <f t="shared" si="3"/>
        <v>0</v>
      </c>
    </row>
    <row r="275" spans="2:12" x14ac:dyDescent="0.2">
      <c r="B275" s="93">
        <f>SUBTOTAL(103,$C$21:$C275)</f>
        <v>255</v>
      </c>
      <c r="C275" s="385" t="str">
        <f>Просчет!B340</f>
        <v>Матове покриття з патиною 16 мм, радіусний фрез. фасад кат.2</v>
      </c>
      <c r="D275" s="385"/>
      <c r="E275" s="385"/>
      <c r="F275" s="385"/>
      <c r="G275" s="385"/>
      <c r="H275" s="385"/>
      <c r="I275" s="93" t="str">
        <f>Просчет!J340</f>
        <v>м²</v>
      </c>
      <c r="J275" s="93">
        <f>ROUND(Просчет!K340,3)</f>
        <v>0</v>
      </c>
      <c r="K275" s="110">
        <f>Просчет!M340</f>
        <v>6750</v>
      </c>
      <c r="L275" s="111">
        <f t="shared" si="3"/>
        <v>0</v>
      </c>
    </row>
    <row r="276" spans="2:12" x14ac:dyDescent="0.2">
      <c r="B276" s="93">
        <f>SUBTOTAL(103,$C$21:$C276)</f>
        <v>256</v>
      </c>
      <c r="C276" s="385" t="str">
        <f>Просчет!B341</f>
        <v>Матове покриття з патиною 19 мм, радіусний фрез. фасад кат.1</v>
      </c>
      <c r="D276" s="385"/>
      <c r="E276" s="385"/>
      <c r="F276" s="385"/>
      <c r="G276" s="385"/>
      <c r="H276" s="385"/>
      <c r="I276" s="93" t="str">
        <f>Просчет!J341</f>
        <v>м²</v>
      </c>
      <c r="J276" s="93">
        <f>ROUND(Просчет!K341,3)</f>
        <v>0</v>
      </c>
      <c r="K276" s="110">
        <f>Просчет!M341</f>
        <v>6400</v>
      </c>
      <c r="L276" s="111">
        <f t="shared" si="3"/>
        <v>0</v>
      </c>
    </row>
    <row r="277" spans="2:12" x14ac:dyDescent="0.2">
      <c r="B277" s="93">
        <f>SUBTOTAL(103,$C$21:$C277)</f>
        <v>257</v>
      </c>
      <c r="C277" s="385" t="str">
        <f>Просчет!B342</f>
        <v>Матове покриття з патиною 19 мм, радіусний фрез. фасад кат.2</v>
      </c>
      <c r="D277" s="385"/>
      <c r="E277" s="385"/>
      <c r="F277" s="385"/>
      <c r="G277" s="385"/>
      <c r="H277" s="385"/>
      <c r="I277" s="93" t="str">
        <f>Просчет!J342</f>
        <v>м²</v>
      </c>
      <c r="J277" s="93">
        <f>ROUND(Просчет!K342,3)</f>
        <v>0</v>
      </c>
      <c r="K277" s="110">
        <f>Просчет!M342</f>
        <v>6820</v>
      </c>
      <c r="L277" s="111">
        <f t="shared" si="3"/>
        <v>0</v>
      </c>
    </row>
    <row r="278" spans="2:12" x14ac:dyDescent="0.2">
      <c r="B278" s="93">
        <f>SUBTOTAL(103,$C$21:$C278)</f>
        <v>258</v>
      </c>
      <c r="C278" s="385" t="str">
        <f>Просчет!B343</f>
        <v>Матове покриття з патиною покриття другої сторони радіусний фрез. фасад   кат.1</v>
      </c>
      <c r="D278" s="385"/>
      <c r="E278" s="385"/>
      <c r="F278" s="385"/>
      <c r="G278" s="385"/>
      <c r="H278" s="385"/>
      <c r="I278" s="93" t="str">
        <f>Просчет!J343</f>
        <v>м²</v>
      </c>
      <c r="J278" s="93">
        <f>ROUND(Просчет!K343,3)</f>
        <v>0</v>
      </c>
      <c r="K278" s="110">
        <f>Просчет!M343</f>
        <v>3165</v>
      </c>
      <c r="L278" s="111">
        <f t="shared" ref="L278:L341" si="4">J278*K278</f>
        <v>0</v>
      </c>
    </row>
    <row r="279" spans="2:12" x14ac:dyDescent="0.2">
      <c r="B279" s="93">
        <f>SUBTOTAL(103,$C$21:$C279)</f>
        <v>259</v>
      </c>
      <c r="C279" s="385" t="str">
        <f>Просчет!B344</f>
        <v>Матове покриття з патиною покриття другої сторони радіусний фрез. фасад   кат.2</v>
      </c>
      <c r="D279" s="385"/>
      <c r="E279" s="385"/>
      <c r="F279" s="385"/>
      <c r="G279" s="385"/>
      <c r="H279" s="385"/>
      <c r="I279" s="93" t="str">
        <f>Просчет!J344</f>
        <v>м²</v>
      </c>
      <c r="J279" s="93">
        <f>ROUND(Просчет!K344,3)</f>
        <v>0</v>
      </c>
      <c r="K279" s="110">
        <f>Просчет!M344</f>
        <v>3375</v>
      </c>
      <c r="L279" s="111">
        <f t="shared" si="4"/>
        <v>0</v>
      </c>
    </row>
    <row r="280" spans="2:12" x14ac:dyDescent="0.2">
      <c r="B280" s="93">
        <f>SUBTOTAL(103,$C$21:$C280)</f>
        <v>260</v>
      </c>
      <c r="C280" s="385" t="str">
        <f>Просчет!B345</f>
        <v>Глянцеве покриття з патиною 16 мм, радіусний фрез. фасад кат.1</v>
      </c>
      <c r="D280" s="385"/>
      <c r="E280" s="385"/>
      <c r="F280" s="385"/>
      <c r="G280" s="385"/>
      <c r="H280" s="385"/>
      <c r="I280" s="93" t="str">
        <f>Просчет!J345</f>
        <v>м²</v>
      </c>
      <c r="J280" s="93">
        <f>ROUND(Просчет!K345,3)</f>
        <v>0</v>
      </c>
      <c r="K280" s="110">
        <f>Просчет!M345</f>
        <v>6820</v>
      </c>
      <c r="L280" s="111">
        <f t="shared" si="4"/>
        <v>0</v>
      </c>
    </row>
    <row r="281" spans="2:12" x14ac:dyDescent="0.2">
      <c r="B281" s="93">
        <f>SUBTOTAL(103,$C$21:$C281)</f>
        <v>261</v>
      </c>
      <c r="C281" s="385" t="str">
        <f>Просчет!B346</f>
        <v>Глянцеве покриття з патиною 16 мм, радіусний фрез. фасад кат.2</v>
      </c>
      <c r="D281" s="385"/>
      <c r="E281" s="385"/>
      <c r="F281" s="385"/>
      <c r="G281" s="385"/>
      <c r="H281" s="385"/>
      <c r="I281" s="93" t="str">
        <f>Просчет!J346</f>
        <v>м²</v>
      </c>
      <c r="J281" s="93">
        <f>ROUND(Просчет!K346,3)</f>
        <v>0</v>
      </c>
      <c r="K281" s="110">
        <f>Просчет!M346</f>
        <v>7240</v>
      </c>
      <c r="L281" s="111">
        <f t="shared" si="4"/>
        <v>0</v>
      </c>
    </row>
    <row r="282" spans="2:12" x14ac:dyDescent="0.2">
      <c r="B282" s="93">
        <f>SUBTOTAL(103,$C$21:$C282)</f>
        <v>262</v>
      </c>
      <c r="C282" s="385" t="str">
        <f>Просчет!B347</f>
        <v>Глянцеве покриття з патиною 19 мм, радіусний фрез. фасад кат.1</v>
      </c>
      <c r="D282" s="385"/>
      <c r="E282" s="385"/>
      <c r="F282" s="385"/>
      <c r="G282" s="385"/>
      <c r="H282" s="385"/>
      <c r="I282" s="93" t="str">
        <f>Просчет!J347</f>
        <v>м²</v>
      </c>
      <c r="J282" s="93">
        <f>ROUND(Просчет!K347,3)</f>
        <v>0</v>
      </c>
      <c r="K282" s="110">
        <f>Просчет!M347</f>
        <v>6890</v>
      </c>
      <c r="L282" s="111">
        <f t="shared" si="4"/>
        <v>0</v>
      </c>
    </row>
    <row r="283" spans="2:12" x14ac:dyDescent="0.2">
      <c r="B283" s="93">
        <f>SUBTOTAL(103,$C$21:$C283)</f>
        <v>263</v>
      </c>
      <c r="C283" s="385" t="str">
        <f>Просчет!B348</f>
        <v>Глянцеве покриття з патиною 19 мм, радіусний фрез. фасад кат.2</v>
      </c>
      <c r="D283" s="385"/>
      <c r="E283" s="385"/>
      <c r="F283" s="385"/>
      <c r="G283" s="385"/>
      <c r="H283" s="385"/>
      <c r="I283" s="93" t="str">
        <f>Просчет!J348</f>
        <v>м²</v>
      </c>
      <c r="J283" s="93">
        <f>ROUND(Просчет!K348,3)</f>
        <v>0</v>
      </c>
      <c r="K283" s="110">
        <f>Просчет!M348</f>
        <v>7310</v>
      </c>
      <c r="L283" s="111">
        <f t="shared" si="4"/>
        <v>0</v>
      </c>
    </row>
    <row r="284" spans="2:12" x14ac:dyDescent="0.2">
      <c r="B284" s="93">
        <f>SUBTOTAL(103,$C$21:$C284)</f>
        <v>264</v>
      </c>
      <c r="C284" s="385" t="str">
        <f>Просчет!B349</f>
        <v>Глянцеве покриття з патиною покриття другої сторони радіусний фрез. Фасад кат.1</v>
      </c>
      <c r="D284" s="385"/>
      <c r="E284" s="385"/>
      <c r="F284" s="385"/>
      <c r="G284" s="385"/>
      <c r="H284" s="385"/>
      <c r="I284" s="93" t="str">
        <f>Просчет!J349</f>
        <v>м²</v>
      </c>
      <c r="J284" s="93">
        <f>ROUND(Просчет!K349,3)</f>
        <v>0</v>
      </c>
      <c r="K284" s="110">
        <f>Просчет!M349</f>
        <v>3410</v>
      </c>
      <c r="L284" s="111">
        <f t="shared" si="4"/>
        <v>0</v>
      </c>
    </row>
    <row r="285" spans="2:12" x14ac:dyDescent="0.2">
      <c r="B285" s="93">
        <f>SUBTOTAL(103,$C$21:$C285)</f>
        <v>265</v>
      </c>
      <c r="C285" s="385" t="str">
        <f>Просчет!B350</f>
        <v>Глянцеве покриття з патиною покриття другої сторони радіусний фрез. Фасад кат.2</v>
      </c>
      <c r="D285" s="385"/>
      <c r="E285" s="385"/>
      <c r="F285" s="385"/>
      <c r="G285" s="385"/>
      <c r="H285" s="385"/>
      <c r="I285" s="93" t="str">
        <f>Просчет!J350</f>
        <v>м²</v>
      </c>
      <c r="J285" s="93">
        <f>ROUND(Просчет!K350,3)</f>
        <v>0</v>
      </c>
      <c r="K285" s="110">
        <f>Просчет!M350</f>
        <v>3620</v>
      </c>
      <c r="L285" s="111">
        <f t="shared" si="4"/>
        <v>0</v>
      </c>
    </row>
    <row r="286" spans="2:12" x14ac:dyDescent="0.2">
      <c r="B286" s="93">
        <f>SUBTOTAL(103,$C$21:$C286)</f>
        <v>266</v>
      </c>
      <c r="C286" s="385" t="str">
        <f>Просчет!B351</f>
        <v>Матовий DECAPE 16 мм,радіусний фрез. фасад кат.1</v>
      </c>
      <c r="D286" s="385"/>
      <c r="E286" s="385"/>
      <c r="F286" s="385"/>
      <c r="G286" s="385"/>
      <c r="H286" s="385"/>
      <c r="I286" s="93" t="str">
        <f>Просчет!J351</f>
        <v>м²</v>
      </c>
      <c r="J286" s="93">
        <f>ROUND(Просчет!K351,3)</f>
        <v>0</v>
      </c>
      <c r="K286" s="110">
        <f>Просчет!M351</f>
        <v>6470</v>
      </c>
      <c r="L286" s="111">
        <f t="shared" si="4"/>
        <v>0</v>
      </c>
    </row>
    <row r="287" spans="2:12" x14ac:dyDescent="0.2">
      <c r="B287" s="93">
        <f>SUBTOTAL(103,$C$21:$C287)</f>
        <v>267</v>
      </c>
      <c r="C287" s="385" t="str">
        <f>Просчет!B352</f>
        <v>Матовий DECAPE 16 мм,радіусний фрез. фасад кат.2</v>
      </c>
      <c r="D287" s="385"/>
      <c r="E287" s="385"/>
      <c r="F287" s="385"/>
      <c r="G287" s="385"/>
      <c r="H287" s="385"/>
      <c r="I287" s="93" t="str">
        <f>Просчет!J352</f>
        <v>м²</v>
      </c>
      <c r="J287" s="93">
        <f>ROUND(Просчет!K352,3)</f>
        <v>0</v>
      </c>
      <c r="K287" s="110">
        <f>Просчет!M352</f>
        <v>6890</v>
      </c>
      <c r="L287" s="111">
        <f t="shared" si="4"/>
        <v>0</v>
      </c>
    </row>
    <row r="288" spans="2:12" x14ac:dyDescent="0.2">
      <c r="B288" s="93">
        <f>SUBTOTAL(103,$C$21:$C288)</f>
        <v>268</v>
      </c>
      <c r="C288" s="385" t="str">
        <f>Просчет!B353</f>
        <v>Матовий DECAPE 19 мм, радіусний фрез. фасад кат.1</v>
      </c>
      <c r="D288" s="385"/>
      <c r="E288" s="385"/>
      <c r="F288" s="385"/>
      <c r="G288" s="385"/>
      <c r="H288" s="385"/>
      <c r="I288" s="93" t="str">
        <f>Просчет!J353</f>
        <v>м²</v>
      </c>
      <c r="J288" s="93">
        <f>ROUND(Просчет!K353,3)</f>
        <v>0</v>
      </c>
      <c r="K288" s="110">
        <f>Просчет!M353</f>
        <v>6540</v>
      </c>
      <c r="L288" s="111">
        <f t="shared" si="4"/>
        <v>0</v>
      </c>
    </row>
    <row r="289" spans="2:12" x14ac:dyDescent="0.2">
      <c r="B289" s="93">
        <f>SUBTOTAL(103,$C$21:$C289)</f>
        <v>269</v>
      </c>
      <c r="C289" s="385" t="str">
        <f>Просчет!B354</f>
        <v>Матовий DECAPE 19 мм, радіусний фрез. фасад кат.2</v>
      </c>
      <c r="D289" s="385"/>
      <c r="E289" s="385"/>
      <c r="F289" s="385"/>
      <c r="G289" s="385"/>
      <c r="H289" s="385"/>
      <c r="I289" s="93" t="str">
        <f>Просчет!J354</f>
        <v>м²</v>
      </c>
      <c r="J289" s="93">
        <f>ROUND(Просчет!K354,3)</f>
        <v>0</v>
      </c>
      <c r="K289" s="110">
        <f>Просчет!M354</f>
        <v>6960</v>
      </c>
      <c r="L289" s="111">
        <f t="shared" si="4"/>
        <v>0</v>
      </c>
    </row>
    <row r="290" spans="2:12" x14ac:dyDescent="0.2">
      <c r="B290" s="93">
        <f>SUBTOTAL(103,$C$21:$C290)</f>
        <v>270</v>
      </c>
      <c r="C290" s="385" t="str">
        <f>Просчет!B355</f>
        <v>Матовий DECAPE покриття другої сторони радіусний фрез. Фасад кат.1</v>
      </c>
      <c r="D290" s="385"/>
      <c r="E290" s="385"/>
      <c r="F290" s="385"/>
      <c r="G290" s="385"/>
      <c r="H290" s="385"/>
      <c r="I290" s="93" t="str">
        <f>Просчет!J355</f>
        <v>м²</v>
      </c>
      <c r="J290" s="93">
        <f>ROUND(Просчет!K355,3)</f>
        <v>0</v>
      </c>
      <c r="K290" s="110">
        <f>Просчет!M355</f>
        <v>3235</v>
      </c>
      <c r="L290" s="111">
        <f t="shared" si="4"/>
        <v>0</v>
      </c>
    </row>
    <row r="291" spans="2:12" x14ac:dyDescent="0.2">
      <c r="B291" s="93">
        <f>SUBTOTAL(103,$C$21:$C291)</f>
        <v>271</v>
      </c>
      <c r="C291" s="385" t="str">
        <f>Просчет!B356</f>
        <v>Матовий DECAPE покриття другої сторони радіусний фрез. Фасад кат.2</v>
      </c>
      <c r="D291" s="385"/>
      <c r="E291" s="385"/>
      <c r="F291" s="385"/>
      <c r="G291" s="385"/>
      <c r="H291" s="385"/>
      <c r="I291" s="93" t="str">
        <f>Просчет!J356</f>
        <v>м²</v>
      </c>
      <c r="J291" s="93">
        <f>ROUND(Просчет!K356,3)</f>
        <v>0</v>
      </c>
      <c r="K291" s="110">
        <f>Просчет!M356</f>
        <v>3445</v>
      </c>
      <c r="L291" s="111">
        <f t="shared" si="4"/>
        <v>0</v>
      </c>
    </row>
    <row r="292" spans="2:12" x14ac:dyDescent="0.2">
      <c r="B292" s="93">
        <f>SUBTOTAL(103,$C$21:$C292)</f>
        <v>272</v>
      </c>
      <c r="C292" s="385" t="str">
        <f>Просчет!B357</f>
        <v>Глянцевий DECAPE 16 мм, радіусний фрез. фасад кат.1</v>
      </c>
      <c r="D292" s="385"/>
      <c r="E292" s="385"/>
      <c r="F292" s="385"/>
      <c r="G292" s="385"/>
      <c r="H292" s="385"/>
      <c r="I292" s="93" t="str">
        <f>Просчет!J357</f>
        <v>м²</v>
      </c>
      <c r="J292" s="93">
        <f>ROUND(Просчет!K357,3)</f>
        <v>0</v>
      </c>
      <c r="K292" s="110">
        <f>Просчет!M357</f>
        <v>7450</v>
      </c>
      <c r="L292" s="111">
        <f t="shared" si="4"/>
        <v>0</v>
      </c>
    </row>
    <row r="293" spans="2:12" x14ac:dyDescent="0.2">
      <c r="B293" s="93">
        <f>SUBTOTAL(103,$C$21:$C293)</f>
        <v>273</v>
      </c>
      <c r="C293" s="385" t="str">
        <f>Просчет!B358</f>
        <v>Глянцевий DECAPE 16 мм, радіусний фрез. фасад кат.2</v>
      </c>
      <c r="D293" s="385"/>
      <c r="E293" s="385"/>
      <c r="F293" s="385"/>
      <c r="G293" s="385"/>
      <c r="H293" s="385"/>
      <c r="I293" s="93" t="str">
        <f>Просчет!J358</f>
        <v>м²</v>
      </c>
      <c r="J293" s="93">
        <f>ROUND(Просчет!K358,3)</f>
        <v>0</v>
      </c>
      <c r="K293" s="110">
        <f>Просчет!M358</f>
        <v>7870</v>
      </c>
      <c r="L293" s="111">
        <f t="shared" si="4"/>
        <v>0</v>
      </c>
    </row>
    <row r="294" spans="2:12" x14ac:dyDescent="0.2">
      <c r="B294" s="93">
        <f>SUBTOTAL(103,$C$21:$C294)</f>
        <v>274</v>
      </c>
      <c r="C294" s="385" t="str">
        <f>Просчет!B359</f>
        <v>Глянцевий DECAPE 19 мм, радіусний фрез. фасад кат.1</v>
      </c>
      <c r="D294" s="385"/>
      <c r="E294" s="385"/>
      <c r="F294" s="385"/>
      <c r="G294" s="385"/>
      <c r="H294" s="385"/>
      <c r="I294" s="93" t="str">
        <f>Просчет!J359</f>
        <v>м²</v>
      </c>
      <c r="J294" s="93">
        <f>ROUND(Просчет!K359,3)</f>
        <v>0</v>
      </c>
      <c r="K294" s="110">
        <f>Просчет!M359</f>
        <v>7520</v>
      </c>
      <c r="L294" s="111">
        <f t="shared" si="4"/>
        <v>0</v>
      </c>
    </row>
    <row r="295" spans="2:12" x14ac:dyDescent="0.2">
      <c r="B295" s="93">
        <f>SUBTOTAL(103,$C$21:$C295)</f>
        <v>275</v>
      </c>
      <c r="C295" s="385" t="str">
        <f>Просчет!B360</f>
        <v>Глянцевий DECAPE 19 мм, радіусний фрез. фасад кат.2</v>
      </c>
      <c r="D295" s="385"/>
      <c r="E295" s="385"/>
      <c r="F295" s="385"/>
      <c r="G295" s="385"/>
      <c r="H295" s="385"/>
      <c r="I295" s="93" t="str">
        <f>Просчет!J360</f>
        <v>м²</v>
      </c>
      <c r="J295" s="93">
        <f>ROUND(Просчет!K360,3)</f>
        <v>0</v>
      </c>
      <c r="K295" s="110">
        <f>Просчет!M360</f>
        <v>7940</v>
      </c>
      <c r="L295" s="111">
        <f t="shared" si="4"/>
        <v>0</v>
      </c>
    </row>
    <row r="296" spans="2:12" x14ac:dyDescent="0.2">
      <c r="B296" s="93">
        <f>SUBTOTAL(103,$C$21:$C296)</f>
        <v>276</v>
      </c>
      <c r="C296" s="385" t="str">
        <f>Просчет!B361</f>
        <v>Глянцевий DECAPE покриття другої сторони радіусний фрез. Фасад кат.1</v>
      </c>
      <c r="D296" s="385"/>
      <c r="E296" s="385"/>
      <c r="F296" s="385"/>
      <c r="G296" s="385"/>
      <c r="H296" s="385"/>
      <c r="I296" s="93" t="str">
        <f>Просчет!J361</f>
        <v>м²</v>
      </c>
      <c r="J296" s="93">
        <f>ROUND(Просчет!K361,3)</f>
        <v>0</v>
      </c>
      <c r="K296" s="110">
        <f>Просчет!M361</f>
        <v>3725</v>
      </c>
      <c r="L296" s="111">
        <f t="shared" si="4"/>
        <v>0</v>
      </c>
    </row>
    <row r="297" spans="2:12" x14ac:dyDescent="0.2">
      <c r="B297" s="93">
        <f>SUBTOTAL(103,$C$21:$C297)</f>
        <v>277</v>
      </c>
      <c r="C297" s="385" t="str">
        <f>Просчет!B362</f>
        <v>Глянцевий DECAPE покриття другої сторони радіусний фрез. Фасад кат.2</v>
      </c>
      <c r="D297" s="385"/>
      <c r="E297" s="385"/>
      <c r="F297" s="385"/>
      <c r="G297" s="385"/>
      <c r="H297" s="385"/>
      <c r="I297" s="93" t="str">
        <f>Просчет!J362</f>
        <v>м²</v>
      </c>
      <c r="J297" s="93">
        <f>ROUND(Просчет!K362,3)</f>
        <v>0</v>
      </c>
      <c r="K297" s="110">
        <f>Просчет!M362</f>
        <v>3935</v>
      </c>
      <c r="L297" s="111">
        <f t="shared" si="4"/>
        <v>0</v>
      </c>
    </row>
    <row r="298" spans="2:12" x14ac:dyDescent="0.2">
      <c r="B298" s="93">
        <f>SUBTOTAL(103,$C$21:$C298)</f>
        <v>278</v>
      </c>
      <c r="C298" s="385" t="str">
        <f>Просчет!B363</f>
        <v>Матова фарба + патина+матовий лак (відкрита пора), 16 мм  радіусний фрез. Фасад кат.1</v>
      </c>
      <c r="D298" s="385"/>
      <c r="E298" s="385"/>
      <c r="F298" s="385"/>
      <c r="G298" s="385"/>
      <c r="H298" s="385"/>
      <c r="I298" s="93" t="str">
        <f>Просчет!J363</f>
        <v>м²</v>
      </c>
      <c r="J298" s="93">
        <f>ROUND(Просчет!K363,3)</f>
        <v>0</v>
      </c>
      <c r="K298" s="110">
        <f>Просчет!M363</f>
        <v>10990</v>
      </c>
      <c r="L298" s="111">
        <f t="shared" si="4"/>
        <v>0</v>
      </c>
    </row>
    <row r="299" spans="2:12" x14ac:dyDescent="0.2">
      <c r="B299" s="93">
        <f>SUBTOTAL(103,$C$21:$C299)</f>
        <v>279</v>
      </c>
      <c r="C299" s="385" t="str">
        <f>Просчет!B364</f>
        <v>Матова фарба + патина+матовий лак (відкрита пора), 16 мм  радіусний фрез. Фасад кат.2</v>
      </c>
      <c r="D299" s="385"/>
      <c r="E299" s="385"/>
      <c r="F299" s="385"/>
      <c r="G299" s="385"/>
      <c r="H299" s="385"/>
      <c r="I299" s="93" t="str">
        <f>Просчет!J364</f>
        <v>м²</v>
      </c>
      <c r="J299" s="93">
        <f>ROUND(Просчет!K364,3)</f>
        <v>0</v>
      </c>
      <c r="K299" s="110">
        <f>Просчет!M364</f>
        <v>12340</v>
      </c>
      <c r="L299" s="111">
        <f t="shared" si="4"/>
        <v>0</v>
      </c>
    </row>
    <row r="300" spans="2:12" x14ac:dyDescent="0.2">
      <c r="B300" s="93">
        <f>SUBTOTAL(103,$C$21:$C300)</f>
        <v>280</v>
      </c>
      <c r="C300" s="385" t="str">
        <f>Просчет!B365</f>
        <v>Матова фарба + патина+матовий лак (відкрита пора), 19 мм  радіусний фрез. Фасад кат.1</v>
      </c>
      <c r="D300" s="385"/>
      <c r="E300" s="385"/>
      <c r="F300" s="385"/>
      <c r="G300" s="385"/>
      <c r="H300" s="385"/>
      <c r="I300" s="93" t="str">
        <f>Просчет!J365</f>
        <v>м²</v>
      </c>
      <c r="J300" s="93">
        <f>ROUND(Просчет!K365,3)</f>
        <v>0</v>
      </c>
      <c r="K300" s="110">
        <f>Просчет!M365</f>
        <v>11060</v>
      </c>
      <c r="L300" s="111">
        <f t="shared" si="4"/>
        <v>0</v>
      </c>
    </row>
    <row r="301" spans="2:12" x14ac:dyDescent="0.2">
      <c r="B301" s="93">
        <f>SUBTOTAL(103,$C$21:$C301)</f>
        <v>281</v>
      </c>
      <c r="C301" s="385" t="str">
        <f>Просчет!B366</f>
        <v>Матова фарба + патина+матовий лак (відкрита пора), 19 мм  радіусний фрез. Фасад кат.2</v>
      </c>
      <c r="D301" s="385"/>
      <c r="E301" s="385"/>
      <c r="F301" s="385"/>
      <c r="G301" s="385"/>
      <c r="H301" s="385"/>
      <c r="I301" s="93" t="str">
        <f>Просчет!J366</f>
        <v>м²</v>
      </c>
      <c r="J301" s="93">
        <f>ROUND(Просчет!K366,3)</f>
        <v>0</v>
      </c>
      <c r="K301" s="110">
        <f>Просчет!M366</f>
        <v>12410</v>
      </c>
      <c r="L301" s="111">
        <f t="shared" si="4"/>
        <v>0</v>
      </c>
    </row>
    <row r="302" spans="2:12" x14ac:dyDescent="0.2">
      <c r="B302" s="93">
        <f>SUBTOTAL(103,$C$21:$C302)</f>
        <v>282</v>
      </c>
      <c r="C302" s="385" t="str">
        <f>Просчет!B367</f>
        <v>Матова фарба + патина+матовий лак покриття другої сторони радіусний фрез. Фасад кат.1</v>
      </c>
      <c r="D302" s="385"/>
      <c r="E302" s="385"/>
      <c r="F302" s="385"/>
      <c r="G302" s="385"/>
      <c r="H302" s="385"/>
      <c r="I302" s="93" t="str">
        <f>Просчет!J367</f>
        <v>м²</v>
      </c>
      <c r="J302" s="93">
        <f>ROUND(Просчет!K367,3)</f>
        <v>0</v>
      </c>
      <c r="K302" s="110">
        <f>Просчет!M367</f>
        <v>5495</v>
      </c>
      <c r="L302" s="111">
        <f t="shared" si="4"/>
        <v>0</v>
      </c>
    </row>
    <row r="303" spans="2:12" x14ac:dyDescent="0.2">
      <c r="B303" s="93">
        <f>SUBTOTAL(103,$C$21:$C303)</f>
        <v>283</v>
      </c>
      <c r="C303" s="385" t="str">
        <f>Просчет!B368</f>
        <v>Матова фарба + патина+матовий лак покриття другої сторони радіусний фрез. Фасад кат.2</v>
      </c>
      <c r="D303" s="385"/>
      <c r="E303" s="385"/>
      <c r="F303" s="385"/>
      <c r="G303" s="385"/>
      <c r="H303" s="385"/>
      <c r="I303" s="93" t="str">
        <f>Просчет!J368</f>
        <v>м²</v>
      </c>
      <c r="J303" s="93">
        <f>ROUND(Просчет!K368,3)</f>
        <v>0</v>
      </c>
      <c r="K303" s="110">
        <f>Просчет!M368</f>
        <v>6170</v>
      </c>
      <c r="L303" s="111">
        <f t="shared" si="4"/>
        <v>0</v>
      </c>
    </row>
    <row r="304" spans="2:12" x14ac:dyDescent="0.2">
      <c r="B304" s="93">
        <f>SUBTOTAL(103,$C$21:$C304)</f>
        <v>284</v>
      </c>
      <c r="C304" s="385" t="str">
        <f>Просчет!B369</f>
        <v>Матова фарба відкрита пора, 16 мм радіусний фрез. Фасад кат.1</v>
      </c>
      <c r="D304" s="385"/>
      <c r="E304" s="385"/>
      <c r="F304" s="385"/>
      <c r="G304" s="385"/>
      <c r="H304" s="385"/>
      <c r="I304" s="93" t="str">
        <f>Просчет!J369</f>
        <v>м²</v>
      </c>
      <c r="J304" s="93">
        <f>ROUND(Просчет!K369,3)</f>
        <v>0</v>
      </c>
      <c r="K304" s="110">
        <f>Просчет!M369</f>
        <v>9820</v>
      </c>
      <c r="L304" s="111">
        <f t="shared" si="4"/>
        <v>0</v>
      </c>
    </row>
    <row r="305" spans="2:12" x14ac:dyDescent="0.2">
      <c r="B305" s="93">
        <f>SUBTOTAL(103,$C$21:$C305)</f>
        <v>285</v>
      </c>
      <c r="C305" s="385" t="str">
        <f>Просчет!B370</f>
        <v>Матова фарба відкрита пора, 16 мм радіусний фрез. Фасад кат.2</v>
      </c>
      <c r="D305" s="385"/>
      <c r="E305" s="385"/>
      <c r="F305" s="385"/>
      <c r="G305" s="385"/>
      <c r="H305" s="385"/>
      <c r="I305" s="93" t="str">
        <f>Просчет!J370</f>
        <v>м²</v>
      </c>
      <c r="J305" s="93">
        <f>ROUND(Просчет!K370,3)</f>
        <v>0</v>
      </c>
      <c r="K305" s="110">
        <f>Просчет!M370</f>
        <v>11170</v>
      </c>
      <c r="L305" s="111">
        <f t="shared" si="4"/>
        <v>0</v>
      </c>
    </row>
    <row r="306" spans="2:12" x14ac:dyDescent="0.2">
      <c r="B306" s="93">
        <f>SUBTOTAL(103,$C$21:$C306)</f>
        <v>286</v>
      </c>
      <c r="C306" s="385" t="str">
        <f>Просчет!B371</f>
        <v>Матова фарба відкрита пора, 19 мм радіусний фрез. Фасад кат.1</v>
      </c>
      <c r="D306" s="385"/>
      <c r="E306" s="385"/>
      <c r="F306" s="385"/>
      <c r="G306" s="385"/>
      <c r="H306" s="385"/>
      <c r="I306" s="93" t="str">
        <f>Просчет!J371</f>
        <v>м²</v>
      </c>
      <c r="J306" s="93">
        <f>ROUND(Просчет!K371,3)</f>
        <v>0</v>
      </c>
      <c r="K306" s="110">
        <f>Просчет!M371</f>
        <v>9890</v>
      </c>
      <c r="L306" s="111">
        <f t="shared" si="4"/>
        <v>0</v>
      </c>
    </row>
    <row r="307" spans="2:12" x14ac:dyDescent="0.2">
      <c r="B307" s="93">
        <f>SUBTOTAL(103,$C$21:$C307)</f>
        <v>287</v>
      </c>
      <c r="C307" s="385" t="str">
        <f>Просчет!B372</f>
        <v>Матова фарба відкрита пора, 19 мм радіусний фрез. Фасад кат.2</v>
      </c>
      <c r="D307" s="385"/>
      <c r="E307" s="385"/>
      <c r="F307" s="385"/>
      <c r="G307" s="385"/>
      <c r="H307" s="385"/>
      <c r="I307" s="93" t="str">
        <f>Просчет!J372</f>
        <v>м²</v>
      </c>
      <c r="J307" s="93">
        <f>ROUND(Просчет!K372,3)</f>
        <v>0</v>
      </c>
      <c r="K307" s="110">
        <f>Просчет!M372</f>
        <v>11240</v>
      </c>
      <c r="L307" s="111">
        <f t="shared" si="4"/>
        <v>0</v>
      </c>
    </row>
    <row r="308" spans="2:12" x14ac:dyDescent="0.2">
      <c r="B308" s="93">
        <f>SUBTOTAL(103,$C$21:$C308)</f>
        <v>288</v>
      </c>
      <c r="C308" s="385" t="str">
        <f>Просчет!B373</f>
        <v>Матова фарба відкрита пора, покриття другої сторони радіусний фрез. Фасад кат.1</v>
      </c>
      <c r="D308" s="385"/>
      <c r="E308" s="385"/>
      <c r="F308" s="385"/>
      <c r="G308" s="385"/>
      <c r="H308" s="385"/>
      <c r="I308" s="93" t="str">
        <f>Просчет!J373</f>
        <v>м²</v>
      </c>
      <c r="J308" s="93">
        <f>ROUND(Просчет!K373,3)</f>
        <v>0</v>
      </c>
      <c r="K308" s="110">
        <f>Просчет!M373</f>
        <v>4910</v>
      </c>
      <c r="L308" s="111">
        <f t="shared" si="4"/>
        <v>0</v>
      </c>
    </row>
    <row r="309" spans="2:12" x14ac:dyDescent="0.2">
      <c r="B309" s="93">
        <f>SUBTOTAL(103,$C$21:$C309)</f>
        <v>289</v>
      </c>
      <c r="C309" s="385" t="str">
        <f>Просчет!B374</f>
        <v>Матова фарба відкрита пора, покриття другої сторони радіусний фрез. Фасад кат.2</v>
      </c>
      <c r="D309" s="385"/>
      <c r="E309" s="385"/>
      <c r="F309" s="385"/>
      <c r="G309" s="385"/>
      <c r="H309" s="385"/>
      <c r="I309" s="93" t="str">
        <f>Просчет!J374</f>
        <v>м²</v>
      </c>
      <c r="J309" s="93">
        <f>ROUND(Просчет!K374,3)</f>
        <v>0</v>
      </c>
      <c r="K309" s="110">
        <f>Просчет!M374</f>
        <v>5585</v>
      </c>
      <c r="L309" s="111">
        <f t="shared" si="4"/>
        <v>0</v>
      </c>
    </row>
    <row r="310" spans="2:12" x14ac:dyDescent="0.2">
      <c r="B310" s="93">
        <f>SUBTOTAL(103,$C$21:$C310)</f>
        <v>290</v>
      </c>
      <c r="C310" s="385" t="str">
        <f>Просчет!B375</f>
        <v>Тонування+патина+матовий лак (відкрита пора), 16 мм радіусний фрез. Фасад кат.1</v>
      </c>
      <c r="D310" s="385"/>
      <c r="E310" s="385"/>
      <c r="F310" s="385"/>
      <c r="G310" s="385"/>
      <c r="H310" s="385"/>
      <c r="I310" s="93" t="str">
        <f>Просчет!J375</f>
        <v>м²</v>
      </c>
      <c r="J310" s="93">
        <f>ROUND(Просчет!K375,3)</f>
        <v>0</v>
      </c>
      <c r="K310" s="110">
        <f>Просчет!M375</f>
        <v>11480</v>
      </c>
      <c r="L310" s="111">
        <f t="shared" si="4"/>
        <v>0</v>
      </c>
    </row>
    <row r="311" spans="2:12" x14ac:dyDescent="0.2">
      <c r="B311" s="93">
        <f>SUBTOTAL(103,$C$21:$C311)</f>
        <v>291</v>
      </c>
      <c r="C311" s="385" t="str">
        <f>Просчет!B376</f>
        <v>Тонування+патина+матовий лак (відкрита пора), 16 мм радіусний фрез. Фасад кат.2</v>
      </c>
      <c r="D311" s="385"/>
      <c r="E311" s="385"/>
      <c r="F311" s="385"/>
      <c r="G311" s="385"/>
      <c r="H311" s="385"/>
      <c r="I311" s="93" t="str">
        <f>Просчет!J376</f>
        <v>м²</v>
      </c>
      <c r="J311" s="93">
        <f>ROUND(Просчет!K376,3)</f>
        <v>0</v>
      </c>
      <c r="K311" s="110">
        <f>Просчет!M376</f>
        <v>12830</v>
      </c>
      <c r="L311" s="111">
        <f t="shared" si="4"/>
        <v>0</v>
      </c>
    </row>
    <row r="312" spans="2:12" x14ac:dyDescent="0.2">
      <c r="B312" s="93">
        <f>SUBTOTAL(103,$C$21:$C312)</f>
        <v>292</v>
      </c>
      <c r="C312" s="385" t="str">
        <f>Просчет!B377</f>
        <v>Тонування+патина+матовий лак (відкрита пора), 19 мм радіусний фрез. Фасад кат.1</v>
      </c>
      <c r="D312" s="385"/>
      <c r="E312" s="385"/>
      <c r="F312" s="385"/>
      <c r="G312" s="385"/>
      <c r="H312" s="385"/>
      <c r="I312" s="93" t="str">
        <f>Просчет!J377</f>
        <v>м²</v>
      </c>
      <c r="J312" s="93">
        <f>ROUND(Просчет!K377,3)</f>
        <v>0</v>
      </c>
      <c r="K312" s="110">
        <f>Просчет!M377</f>
        <v>11550</v>
      </c>
      <c r="L312" s="111">
        <f t="shared" si="4"/>
        <v>0</v>
      </c>
    </row>
    <row r="313" spans="2:12" x14ac:dyDescent="0.2">
      <c r="B313" s="93">
        <f>SUBTOTAL(103,$C$21:$C313)</f>
        <v>293</v>
      </c>
      <c r="C313" s="385" t="str">
        <f>Просчет!B378</f>
        <v>Тонування+патина+матовий лак (відкрита пора), 19 мм радіусний фрез. Фасад кат.2</v>
      </c>
      <c r="D313" s="385"/>
      <c r="E313" s="385"/>
      <c r="F313" s="385"/>
      <c r="G313" s="385"/>
      <c r="H313" s="385"/>
      <c r="I313" s="93" t="str">
        <f>Просчет!J378</f>
        <v>м²</v>
      </c>
      <c r="J313" s="93">
        <f>ROUND(Просчет!K378,3)</f>
        <v>0</v>
      </c>
      <c r="K313" s="110">
        <f>Просчет!M378</f>
        <v>12900</v>
      </c>
      <c r="L313" s="111">
        <f t="shared" si="4"/>
        <v>0</v>
      </c>
    </row>
    <row r="314" spans="2:12" x14ac:dyDescent="0.2">
      <c r="B314" s="93">
        <f>SUBTOTAL(103,$C$21:$C314)</f>
        <v>294</v>
      </c>
      <c r="C314" s="385" t="str">
        <f>Просчет!B379</f>
        <v>Тонування+патина+матовий лак (відкрита пора), покриття другої сторони радіусний фрез. фасад кат.1</v>
      </c>
      <c r="D314" s="385"/>
      <c r="E314" s="385"/>
      <c r="F314" s="385"/>
      <c r="G314" s="385"/>
      <c r="H314" s="385"/>
      <c r="I314" s="93" t="str">
        <f>Просчет!J379</f>
        <v>м²</v>
      </c>
      <c r="J314" s="93">
        <f>ROUND(Просчет!K379,3)</f>
        <v>0</v>
      </c>
      <c r="K314" s="110">
        <f>Просчет!M379</f>
        <v>5740</v>
      </c>
      <c r="L314" s="111">
        <f t="shared" si="4"/>
        <v>0</v>
      </c>
    </row>
    <row r="315" spans="2:12" x14ac:dyDescent="0.2">
      <c r="B315" s="93">
        <f>SUBTOTAL(103,$C$21:$C315)</f>
        <v>295</v>
      </c>
      <c r="C315" s="385" t="str">
        <f>Просчет!B380</f>
        <v>Тонування+патина+матовий лак (відкрита пора), покриття другої сторони радіусний фрез. фасад кат.2</v>
      </c>
      <c r="D315" s="385"/>
      <c r="E315" s="385"/>
      <c r="F315" s="385"/>
      <c r="G315" s="385"/>
      <c r="H315" s="385"/>
      <c r="I315" s="93" t="str">
        <f>Просчет!J380</f>
        <v>м²</v>
      </c>
      <c r="J315" s="93">
        <f>ROUND(Просчет!K380,3)</f>
        <v>0</v>
      </c>
      <c r="K315" s="110">
        <f>Просчет!M380</f>
        <v>6415</v>
      </c>
      <c r="L315" s="111">
        <f t="shared" si="4"/>
        <v>0</v>
      </c>
    </row>
    <row r="316" spans="2:12" x14ac:dyDescent="0.2">
      <c r="B316" s="93">
        <f>SUBTOTAL(103,$C$21:$C316)</f>
        <v>296</v>
      </c>
      <c r="C316" s="385" t="str">
        <f>Просчет!B381</f>
        <v>Тонування+матовий лак (відкрита пора), 16 мм радіусний фрез. Фасад кат.1</v>
      </c>
      <c r="D316" s="385"/>
      <c r="E316" s="385"/>
      <c r="F316" s="385"/>
      <c r="G316" s="385"/>
      <c r="H316" s="385"/>
      <c r="I316" s="93" t="str">
        <f>Просчет!J381</f>
        <v>м²</v>
      </c>
      <c r="J316" s="93">
        <f>ROUND(Просчет!K381,3)</f>
        <v>0</v>
      </c>
      <c r="K316" s="110">
        <f>Просчет!M381</f>
        <v>10270</v>
      </c>
      <c r="L316" s="111">
        <f t="shared" si="4"/>
        <v>0</v>
      </c>
    </row>
    <row r="317" spans="2:12" x14ac:dyDescent="0.2">
      <c r="B317" s="93">
        <f>SUBTOTAL(103,$C$21:$C317)</f>
        <v>297</v>
      </c>
      <c r="C317" s="385" t="str">
        <f>Просчет!B382</f>
        <v>Тонування+матовий лак (відкрита пора), 16 мм радіусний фрез. Фасад кат.2</v>
      </c>
      <c r="D317" s="385"/>
      <c r="E317" s="385"/>
      <c r="F317" s="385"/>
      <c r="G317" s="385"/>
      <c r="H317" s="385"/>
      <c r="I317" s="93" t="str">
        <f>Просчет!J382</f>
        <v>м²</v>
      </c>
      <c r="J317" s="93">
        <f>ROUND(Просчет!K382,3)</f>
        <v>0</v>
      </c>
      <c r="K317" s="110">
        <f>Просчет!M382</f>
        <v>11620</v>
      </c>
      <c r="L317" s="111">
        <f t="shared" si="4"/>
        <v>0</v>
      </c>
    </row>
    <row r="318" spans="2:12" x14ac:dyDescent="0.2">
      <c r="B318" s="93">
        <f>SUBTOTAL(103,$C$21:$C318)</f>
        <v>298</v>
      </c>
      <c r="C318" s="385" t="str">
        <f>Просчет!B383</f>
        <v>Тонування+матовий лак (відкрита пора), 19 мм радіусний фрез. Фасад кат.1</v>
      </c>
      <c r="D318" s="385"/>
      <c r="E318" s="385"/>
      <c r="F318" s="385"/>
      <c r="G318" s="385"/>
      <c r="H318" s="385"/>
      <c r="I318" s="93" t="str">
        <f>Просчет!J383</f>
        <v>м²</v>
      </c>
      <c r="J318" s="93">
        <f>ROUND(Просчет!K383,3)</f>
        <v>0</v>
      </c>
      <c r="K318" s="110">
        <f>Просчет!M383</f>
        <v>10340</v>
      </c>
      <c r="L318" s="111">
        <f t="shared" si="4"/>
        <v>0</v>
      </c>
    </row>
    <row r="319" spans="2:12" x14ac:dyDescent="0.2">
      <c r="B319" s="93">
        <f>SUBTOTAL(103,$C$21:$C319)</f>
        <v>299</v>
      </c>
      <c r="C319" s="385" t="str">
        <f>Просчет!B384</f>
        <v>Тонування+матовий лак (відкрита пора), 19 мм радіусний фрез. Фасад кат.2</v>
      </c>
      <c r="D319" s="385"/>
      <c r="E319" s="385"/>
      <c r="F319" s="385"/>
      <c r="G319" s="385"/>
      <c r="H319" s="385"/>
      <c r="I319" s="93" t="str">
        <f>Просчет!J384</f>
        <v>м²</v>
      </c>
      <c r="J319" s="93">
        <f>ROUND(Просчет!K384,3)</f>
        <v>0</v>
      </c>
      <c r="K319" s="110">
        <f>Просчет!M384</f>
        <v>11690</v>
      </c>
      <c r="L319" s="111">
        <f t="shared" si="4"/>
        <v>0</v>
      </c>
    </row>
    <row r="320" spans="2:12" x14ac:dyDescent="0.2">
      <c r="B320" s="93">
        <f>SUBTOTAL(103,$C$21:$C320)</f>
        <v>300</v>
      </c>
      <c r="C320" s="385" t="str">
        <f>Просчет!B385</f>
        <v>Тонування+матовий лак (відкрита пора), покриття другої сторони радіусний фрез. фасад кат.1</v>
      </c>
      <c r="D320" s="385"/>
      <c r="E320" s="385"/>
      <c r="F320" s="385"/>
      <c r="G320" s="385"/>
      <c r="H320" s="385"/>
      <c r="I320" s="93" t="str">
        <f>Просчет!J385</f>
        <v>м²</v>
      </c>
      <c r="J320" s="93">
        <f>ROUND(Просчет!K385,3)</f>
        <v>0</v>
      </c>
      <c r="K320" s="110">
        <f>Просчет!M385</f>
        <v>5135</v>
      </c>
      <c r="L320" s="111">
        <f t="shared" si="4"/>
        <v>0</v>
      </c>
    </row>
    <row r="321" spans="2:12" x14ac:dyDescent="0.2">
      <c r="B321" s="93">
        <f>SUBTOTAL(103,$C$21:$C321)</f>
        <v>301</v>
      </c>
      <c r="C321" s="385" t="str">
        <f>Просчет!B386</f>
        <v>Тонування+матовий лак (відкрита пора), покриття другої сторони радіусний фрез. фасад кат.2</v>
      </c>
      <c r="D321" s="385"/>
      <c r="E321" s="385"/>
      <c r="F321" s="385"/>
      <c r="G321" s="385"/>
      <c r="H321" s="385"/>
      <c r="I321" s="93" t="str">
        <f>Просчет!J386</f>
        <v>м²</v>
      </c>
      <c r="J321" s="93">
        <f>ROUND(Просчет!K386,3)</f>
        <v>0</v>
      </c>
      <c r="K321" s="110">
        <f>Просчет!M386</f>
        <v>5810</v>
      </c>
      <c r="L321" s="111">
        <f t="shared" si="4"/>
        <v>0</v>
      </c>
    </row>
    <row r="322" spans="2:12" x14ac:dyDescent="0.2">
      <c r="B322" s="93">
        <f>SUBTOTAL(103,$C$21:$C322)</f>
        <v>302</v>
      </c>
      <c r="C322" s="385" t="str">
        <f>Просчет!B387</f>
        <v>Вітрина без чверті, плоский фасад</v>
      </c>
      <c r="D322" s="385"/>
      <c r="E322" s="385"/>
      <c r="F322" s="385"/>
      <c r="G322" s="385"/>
      <c r="H322" s="385"/>
      <c r="I322" s="93" t="str">
        <f>Просчет!J387</f>
        <v>шт.</v>
      </c>
      <c r="J322" s="93">
        <f>ROUND(Просчет!K387,3)</f>
        <v>0</v>
      </c>
      <c r="K322" s="110">
        <f>Просчет!M387</f>
        <v>160</v>
      </c>
      <c r="L322" s="111">
        <f t="shared" si="4"/>
        <v>0</v>
      </c>
    </row>
    <row r="323" spans="2:12" x14ac:dyDescent="0.2">
      <c r="B323" s="93">
        <f>SUBTOTAL(103,$C$21:$C323)</f>
        <v>303</v>
      </c>
      <c r="C323" s="385" t="str">
        <f>Просчет!B388</f>
        <v>Вітрина з чвертю, плоский фасад</v>
      </c>
      <c r="D323" s="385"/>
      <c r="E323" s="385"/>
      <c r="F323" s="385"/>
      <c r="G323" s="385"/>
      <c r="H323" s="385"/>
      <c r="I323" s="93" t="str">
        <f>Просчет!J388</f>
        <v>шт.</v>
      </c>
      <c r="J323" s="93">
        <f>ROUND(Просчет!K388,3)</f>
        <v>0</v>
      </c>
      <c r="K323" s="110">
        <f>Просчет!M388</f>
        <v>215</v>
      </c>
      <c r="L323" s="111">
        <f t="shared" si="4"/>
        <v>0</v>
      </c>
    </row>
    <row r="324" spans="2:12" x14ac:dyDescent="0.2">
      <c r="B324" s="93">
        <f>SUBTOTAL(103,$C$21:$C324)</f>
        <v>304</v>
      </c>
      <c r="C324" s="385" t="str">
        <f>Просчет!B389</f>
        <v>Вітрина шпрос без чверті, плоский фасад до 1000 мм</v>
      </c>
      <c r="D324" s="385"/>
      <c r="E324" s="385"/>
      <c r="F324" s="385"/>
      <c r="G324" s="385"/>
      <c r="H324" s="385"/>
      <c r="I324" s="93" t="str">
        <f>Просчет!J389</f>
        <v>шт.</v>
      </c>
      <c r="J324" s="93">
        <f>ROUND(Просчет!K389,3)</f>
        <v>0</v>
      </c>
      <c r="K324" s="110">
        <f>Просчет!M389</f>
        <v>450</v>
      </c>
      <c r="L324" s="111">
        <f t="shared" si="4"/>
        <v>0</v>
      </c>
    </row>
    <row r="325" spans="2:12" x14ac:dyDescent="0.2">
      <c r="B325" s="93">
        <f>SUBTOTAL(103,$C$21:$C325)</f>
        <v>305</v>
      </c>
      <c r="C325" s="385" t="str">
        <f>Просчет!B390</f>
        <v>Вітрина шпрос з чвертю, плоский фасад до 1000 мм</v>
      </c>
      <c r="D325" s="385"/>
      <c r="E325" s="385"/>
      <c r="F325" s="385"/>
      <c r="G325" s="385"/>
      <c r="H325" s="385"/>
      <c r="I325" s="93" t="str">
        <f>Просчет!J390</f>
        <v>шт.</v>
      </c>
      <c r="J325" s="93">
        <f>ROUND(Просчет!K390,3)</f>
        <v>0</v>
      </c>
      <c r="K325" s="110">
        <f>Просчет!M390</f>
        <v>1050</v>
      </c>
      <c r="L325" s="111">
        <f t="shared" si="4"/>
        <v>0</v>
      </c>
    </row>
    <row r="326" spans="2:12" x14ac:dyDescent="0.2">
      <c r="B326" s="93">
        <f>SUBTOTAL(103,$C$21:$C326)</f>
        <v>306</v>
      </c>
      <c r="C326" s="385" t="str">
        <f>Просчет!B391</f>
        <v>Вітрина шпрос без чверті, плоский фасад понад 1000 мм</v>
      </c>
      <c r="D326" s="385"/>
      <c r="E326" s="385"/>
      <c r="F326" s="385"/>
      <c r="G326" s="385"/>
      <c r="H326" s="385"/>
      <c r="I326" s="93" t="str">
        <f>Просчет!J391</f>
        <v>шт.</v>
      </c>
      <c r="J326" s="93">
        <f>ROUND(Просчет!K391,3)</f>
        <v>0</v>
      </c>
      <c r="K326" s="110">
        <f>Просчет!M391</f>
        <v>500</v>
      </c>
      <c r="L326" s="111">
        <f t="shared" si="4"/>
        <v>0</v>
      </c>
    </row>
    <row r="327" spans="2:12" x14ac:dyDescent="0.2">
      <c r="B327" s="93">
        <f>SUBTOTAL(103,$C$21:$C327)</f>
        <v>307</v>
      </c>
      <c r="C327" s="385" t="str">
        <f>Просчет!B392</f>
        <v>Вітрина шпрос з чвертю, плоский фасад понад 1000 мм</v>
      </c>
      <c r="D327" s="385"/>
      <c r="E327" s="385"/>
      <c r="F327" s="385"/>
      <c r="G327" s="385"/>
      <c r="H327" s="385"/>
      <c r="I327" s="93" t="str">
        <f>Просчет!J392</f>
        <v>шт.</v>
      </c>
      <c r="J327" s="93">
        <f>ROUND(Просчет!K392,3)</f>
        <v>0</v>
      </c>
      <c r="K327" s="110">
        <f>Просчет!M392</f>
        <v>1100</v>
      </c>
      <c r="L327" s="111">
        <f t="shared" si="4"/>
        <v>0</v>
      </c>
    </row>
    <row r="328" spans="2:12" x14ac:dyDescent="0.2">
      <c r="B328" s="93">
        <f>SUBTOTAL(103,$C$21:$C328)</f>
        <v>308</v>
      </c>
      <c r="C328" s="385" t="str">
        <f>Просчет!B393</f>
        <v>Вітрина радіусний фасад,</v>
      </c>
      <c r="D328" s="385"/>
      <c r="E328" s="385"/>
      <c r="F328" s="385"/>
      <c r="G328" s="385"/>
      <c r="H328" s="385"/>
      <c r="I328" s="93" t="str">
        <f>Просчет!J393</f>
        <v>шт.</v>
      </c>
      <c r="J328" s="93">
        <f>ROUND(Просчет!K393,3)</f>
        <v>0</v>
      </c>
      <c r="K328" s="110">
        <f>Просчет!M393</f>
        <v>300</v>
      </c>
      <c r="L328" s="111">
        <f t="shared" si="4"/>
        <v>0</v>
      </c>
    </row>
    <row r="329" spans="2:12" x14ac:dyDescent="0.2">
      <c r="B329" s="93">
        <f>SUBTOTAL(103,$C$21:$C329)</f>
        <v>309</v>
      </c>
      <c r="C329" s="385" t="str">
        <f>Просчет!B394</f>
        <v>Отвір під петлю (35 мм)</v>
      </c>
      <c r="D329" s="385"/>
      <c r="E329" s="385"/>
      <c r="F329" s="385"/>
      <c r="G329" s="385"/>
      <c r="H329" s="385"/>
      <c r="I329" s="93" t="str">
        <f>Просчет!J394</f>
        <v>шт.</v>
      </c>
      <c r="J329" s="93">
        <f>ROUND(Просчет!K394,3)</f>
        <v>0</v>
      </c>
      <c r="K329" s="110">
        <f>Просчет!M394</f>
        <v>25</v>
      </c>
      <c r="L329" s="111">
        <f t="shared" si="4"/>
        <v>0</v>
      </c>
    </row>
    <row r="330" spans="2:12" x14ac:dyDescent="0.2">
      <c r="B330" s="93">
        <f>SUBTOTAL(103,$C$21:$C330)</f>
        <v>310</v>
      </c>
      <c r="C330" s="385" t="str">
        <f>Просчет!B395</f>
        <v>Фарбування ручки J в інший колір</v>
      </c>
      <c r="D330" s="385"/>
      <c r="E330" s="385"/>
      <c r="F330" s="385"/>
      <c r="G330" s="385"/>
      <c r="H330" s="385"/>
      <c r="I330" s="93" t="str">
        <f>Просчет!J395</f>
        <v>шт.</v>
      </c>
      <c r="J330" s="93">
        <f>ROUND(Просчет!K395,3)</f>
        <v>0</v>
      </c>
      <c r="K330" s="110">
        <f>Просчет!M395</f>
        <v>315</v>
      </c>
      <c r="L330" s="111">
        <f t="shared" si="4"/>
        <v>0</v>
      </c>
    </row>
    <row r="331" spans="2:12" x14ac:dyDescent="0.2">
      <c r="B331" s="93">
        <f>SUBTOTAL(103,$C$21:$C331)</f>
        <v>311</v>
      </c>
      <c r="C331" s="385" t="str">
        <f>Просчет!B396</f>
        <v>Ручка тип "J" пряма</v>
      </c>
      <c r="D331" s="385"/>
      <c r="E331" s="385"/>
      <c r="F331" s="385"/>
      <c r="G331" s="385"/>
      <c r="H331" s="385"/>
      <c r="I331" s="93" t="str">
        <f>Просчет!J396</f>
        <v>м.п.</v>
      </c>
      <c r="J331" s="93">
        <f>ROUND(Просчет!K396,3)</f>
        <v>0</v>
      </c>
      <c r="K331" s="110">
        <f>Просчет!M396</f>
        <v>200</v>
      </c>
      <c r="L331" s="111">
        <f t="shared" si="4"/>
        <v>0</v>
      </c>
    </row>
    <row r="332" spans="2:12" x14ac:dyDescent="0.2">
      <c r="B332" s="93">
        <f>SUBTOTAL(103,$C$21:$C332)</f>
        <v>312</v>
      </c>
      <c r="C332" s="385" t="str">
        <f>Просчет!B397</f>
        <v>Ручка тип "J" тупікова</v>
      </c>
      <c r="D332" s="385"/>
      <c r="E332" s="385"/>
      <c r="F332" s="385"/>
      <c r="G332" s="385"/>
      <c r="H332" s="385"/>
      <c r="I332" s="93" t="str">
        <f>Просчет!J397</f>
        <v>шт.</v>
      </c>
      <c r="J332" s="93">
        <f>ROUND(Просчет!K397,3)</f>
        <v>0</v>
      </c>
      <c r="K332" s="110">
        <f>Просчет!M397</f>
        <v>200</v>
      </c>
      <c r="L332" s="111">
        <f t="shared" si="4"/>
        <v>0</v>
      </c>
    </row>
    <row r="333" spans="2:12" x14ac:dyDescent="0.2">
      <c r="B333" s="93">
        <f>SUBTOTAL(103,$C$21:$C333)</f>
        <v>313</v>
      </c>
      <c r="C333" s="385" t="str">
        <f>Просчет!B398</f>
        <v>Ручка тип "J" в радіусному фасаді</v>
      </c>
      <c r="D333" s="385"/>
      <c r="E333" s="385"/>
      <c r="F333" s="385"/>
      <c r="G333" s="385"/>
      <c r="H333" s="385"/>
      <c r="I333" s="93" t="str">
        <f>Просчет!J398</f>
        <v>м.п.</v>
      </c>
      <c r="J333" s="93">
        <f>ROUND(Просчет!K398,3)</f>
        <v>0</v>
      </c>
      <c r="K333" s="110">
        <f>Просчет!M398</f>
        <v>500</v>
      </c>
      <c r="L333" s="111">
        <f t="shared" si="4"/>
        <v>0</v>
      </c>
    </row>
    <row r="334" spans="2:12" x14ac:dyDescent="0.2">
      <c r="B334" s="93">
        <f>SUBTOTAL(103,$C$21:$C334)</f>
        <v>314</v>
      </c>
      <c r="C334" s="385" t="str">
        <f>Просчет!B399</f>
        <v>Ручка 45 град</v>
      </c>
      <c r="D334" s="385"/>
      <c r="E334" s="385"/>
      <c r="F334" s="385"/>
      <c r="G334" s="385"/>
      <c r="H334" s="385"/>
      <c r="I334" s="93" t="str">
        <f>Просчет!J399</f>
        <v>м.п.</v>
      </c>
      <c r="J334" s="93">
        <f>ROUND(Просчет!K399,3)</f>
        <v>0</v>
      </c>
      <c r="K334" s="110">
        <f>Просчет!M399</f>
        <v>190</v>
      </c>
      <c r="L334" s="111">
        <f t="shared" si="4"/>
        <v>0</v>
      </c>
    </row>
    <row r="335" spans="2:12" x14ac:dyDescent="0.2">
      <c r="B335" s="93">
        <f>SUBTOTAL(103,$C$21:$C335)</f>
        <v>315</v>
      </c>
      <c r="C335" s="385">
        <f>Просчет!B400</f>
        <v>0</v>
      </c>
      <c r="D335" s="385"/>
      <c r="E335" s="385"/>
      <c r="F335" s="385"/>
      <c r="G335" s="385"/>
      <c r="H335" s="385"/>
      <c r="I335" s="93">
        <f>Просчет!J400</f>
        <v>0</v>
      </c>
      <c r="J335" s="93">
        <f>ROUND(Просчет!K400,3)</f>
        <v>0</v>
      </c>
      <c r="K335" s="110">
        <f>Просчет!M400</f>
        <v>0</v>
      </c>
      <c r="L335" s="111">
        <f t="shared" si="4"/>
        <v>0</v>
      </c>
    </row>
    <row r="336" spans="2:12" x14ac:dyDescent="0.2">
      <c r="B336" s="93">
        <f>SUBTOTAL(103,$C$21:$C336)</f>
        <v>316</v>
      </c>
      <c r="C336" s="385">
        <f>Просчет!B401</f>
        <v>0</v>
      </c>
      <c r="D336" s="385"/>
      <c r="E336" s="385"/>
      <c r="F336" s="385"/>
      <c r="G336" s="385"/>
      <c r="H336" s="385"/>
      <c r="I336" s="93">
        <f>Просчет!J401</f>
        <v>0</v>
      </c>
      <c r="J336" s="93">
        <f>ROUND(Просчет!K401,3)</f>
        <v>0</v>
      </c>
      <c r="K336" s="110">
        <f>Просчет!M401</f>
        <v>0</v>
      </c>
      <c r="L336" s="111">
        <f t="shared" si="4"/>
        <v>0</v>
      </c>
    </row>
    <row r="337" spans="2:12" x14ac:dyDescent="0.2">
      <c r="B337" s="93">
        <f>SUBTOTAL(103,$C$21:$C337)</f>
        <v>317</v>
      </c>
      <c r="C337" s="385">
        <f>Просчет!B440</f>
        <v>0</v>
      </c>
      <c r="D337" s="385"/>
      <c r="E337" s="385"/>
      <c r="F337" s="385"/>
      <c r="G337" s="385"/>
      <c r="H337" s="385"/>
      <c r="I337" s="93">
        <f>Просчет!J402</f>
        <v>0</v>
      </c>
      <c r="J337" s="93">
        <f>ROUND(Просчет!K402,3)</f>
        <v>0</v>
      </c>
      <c r="K337" s="110">
        <f>Просчет!M402</f>
        <v>0</v>
      </c>
      <c r="L337" s="111">
        <f t="shared" si="4"/>
        <v>0</v>
      </c>
    </row>
    <row r="338" spans="2:12" x14ac:dyDescent="0.2">
      <c r="B338" s="93">
        <f>SUBTOTAL(103,$C$21:$C338)</f>
        <v>318</v>
      </c>
      <c r="C338" s="385">
        <f>Просчет!B405</f>
        <v>0</v>
      </c>
      <c r="D338" s="385"/>
      <c r="E338" s="385"/>
      <c r="F338" s="385"/>
      <c r="G338" s="385"/>
      <c r="H338" s="385"/>
      <c r="I338" s="93">
        <f>Просчет!J410</f>
        <v>0</v>
      </c>
      <c r="J338" s="93">
        <f>ROUND(Просчет!K403,3)</f>
        <v>0</v>
      </c>
      <c r="K338" s="110">
        <f>Просчет!M410</f>
        <v>0</v>
      </c>
      <c r="L338" s="111">
        <f t="shared" si="4"/>
        <v>0</v>
      </c>
    </row>
    <row r="339" spans="2:12" x14ac:dyDescent="0.2">
      <c r="B339" s="93">
        <f>SUBTOTAL(103,$C$21:$C339)</f>
        <v>319</v>
      </c>
      <c r="C339" s="390" t="s">
        <v>530</v>
      </c>
      <c r="D339" s="390"/>
      <c r="E339" s="390"/>
      <c r="F339" s="390"/>
      <c r="G339" s="390"/>
      <c r="H339" s="390"/>
      <c r="I339" s="280" t="s">
        <v>107</v>
      </c>
      <c r="J339" s="93">
        <f>ROUND(Просчет!K404,3)</f>
        <v>0</v>
      </c>
      <c r="K339" s="110">
        <v>0</v>
      </c>
      <c r="L339" s="111">
        <f t="shared" si="4"/>
        <v>0</v>
      </c>
    </row>
    <row r="340" spans="2:12" x14ac:dyDescent="0.2">
      <c r="B340" s="93">
        <f>SUBTOTAL(103,$C$21:$C340)</f>
        <v>320</v>
      </c>
      <c r="C340" s="385">
        <f>Просчет!B403</f>
        <v>0</v>
      </c>
      <c r="D340" s="385"/>
      <c r="E340" s="385"/>
      <c r="F340" s="385"/>
      <c r="G340" s="385"/>
      <c r="H340" s="385"/>
      <c r="I340" s="93">
        <f>Просчет!J403</f>
        <v>0</v>
      </c>
      <c r="J340" s="93">
        <f>ROUND(Просчет!K405,3)</f>
        <v>0</v>
      </c>
      <c r="K340" s="110">
        <f>Просчет!M403</f>
        <v>0</v>
      </c>
      <c r="L340" s="111">
        <f t="shared" si="4"/>
        <v>0</v>
      </c>
    </row>
    <row r="341" spans="2:12" x14ac:dyDescent="0.2">
      <c r="B341" s="93">
        <f>SUBTOTAL(103,$C$21:$C341)</f>
        <v>321</v>
      </c>
      <c r="C341" s="385">
        <f>Просчет!B404</f>
        <v>0</v>
      </c>
      <c r="D341" s="385"/>
      <c r="E341" s="385"/>
      <c r="F341" s="385"/>
      <c r="G341" s="385"/>
      <c r="H341" s="385"/>
      <c r="I341" s="93">
        <f>Просчет!J404</f>
        <v>0</v>
      </c>
      <c r="J341" s="93">
        <f>ROUND(Просчет!K406,3)</f>
        <v>0</v>
      </c>
      <c r="K341" s="110">
        <f>Просчет!M404</f>
        <v>0</v>
      </c>
      <c r="L341" s="111">
        <f t="shared" si="4"/>
        <v>0</v>
      </c>
    </row>
    <row r="342" spans="2:12" x14ac:dyDescent="0.2">
      <c r="B342" s="172"/>
      <c r="C342" s="173"/>
      <c r="D342" s="173"/>
      <c r="E342" s="173"/>
      <c r="F342" s="173"/>
      <c r="G342" s="173"/>
      <c r="H342" s="173"/>
      <c r="I342" s="172"/>
      <c r="J342" s="172"/>
      <c r="K342" s="163"/>
      <c r="L342" s="162"/>
    </row>
    <row r="343" spans="2:12" x14ac:dyDescent="0.2">
      <c r="B343" s="172"/>
      <c r="C343" s="173"/>
      <c r="D343" s="173"/>
      <c r="E343" s="173"/>
      <c r="F343" s="173"/>
      <c r="G343" s="173"/>
      <c r="H343" s="173"/>
      <c r="I343" s="172"/>
      <c r="J343" s="172"/>
      <c r="K343" s="163"/>
      <c r="L343" s="162"/>
    </row>
    <row r="344" spans="2:12" x14ac:dyDescent="0.2">
      <c r="B344" s="163"/>
      <c r="C344" s="163"/>
      <c r="D344" s="163"/>
      <c r="E344" s="163"/>
      <c r="F344" s="163"/>
      <c r="G344" s="163"/>
      <c r="H344" s="163"/>
      <c r="I344" s="163"/>
      <c r="J344" s="163"/>
      <c r="K344" s="163"/>
      <c r="L344" s="163"/>
    </row>
    <row r="345" spans="2:12" x14ac:dyDescent="0.2">
      <c r="B345" s="163"/>
      <c r="C345" s="163"/>
      <c r="D345" s="163"/>
      <c r="E345" s="163"/>
      <c r="F345" s="163"/>
      <c r="G345" s="163"/>
      <c r="H345" s="163"/>
      <c r="I345" s="163"/>
      <c r="J345" s="163"/>
      <c r="K345" s="174" t="s">
        <v>234</v>
      </c>
      <c r="L345" s="175">
        <f>SUM(L21:L341)</f>
        <v>0</v>
      </c>
    </row>
    <row r="346" spans="2:12" x14ac:dyDescent="0.2">
      <c r="B346" s="163"/>
      <c r="C346" s="163"/>
      <c r="D346" s="163"/>
      <c r="E346" s="163"/>
      <c r="F346" s="163"/>
      <c r="G346" s="163"/>
      <c r="H346" s="163"/>
      <c r="I346" s="163"/>
      <c r="J346" s="163"/>
      <c r="K346" s="174" t="s">
        <v>233</v>
      </c>
      <c r="L346" s="126"/>
    </row>
    <row r="347" spans="2:12" x14ac:dyDescent="0.2">
      <c r="B347" s="163"/>
      <c r="C347" s="163"/>
      <c r="D347" s="163"/>
      <c r="E347" s="163"/>
      <c r="F347" s="163"/>
      <c r="G347" s="163"/>
      <c r="H347" s="163"/>
      <c r="I347" s="163"/>
      <c r="J347" s="163"/>
      <c r="K347" s="176" t="s">
        <v>235</v>
      </c>
      <c r="L347" s="175">
        <f>(SUM(L21:$L$338)-(SUM(L21:$L$338)*L346/100))+L339</f>
        <v>0</v>
      </c>
    </row>
    <row r="348" spans="2:12" x14ac:dyDescent="0.2">
      <c r="B348" s="163"/>
      <c r="C348" s="163"/>
      <c r="D348" s="163"/>
      <c r="E348" s="163"/>
      <c r="F348" s="163"/>
      <c r="G348" s="163"/>
      <c r="H348" s="163"/>
      <c r="I348" s="163"/>
      <c r="J348" s="163"/>
      <c r="K348" s="174"/>
      <c r="L348" s="174"/>
    </row>
    <row r="349" spans="2:12" x14ac:dyDescent="0.2">
      <c r="B349" s="163"/>
      <c r="C349" s="163"/>
      <c r="D349" s="163"/>
      <c r="E349" s="163"/>
      <c r="F349" s="163"/>
      <c r="G349" s="163"/>
      <c r="H349" s="163"/>
      <c r="I349" s="163"/>
      <c r="J349" s="163"/>
      <c r="K349" s="174"/>
      <c r="L349" s="174"/>
    </row>
    <row r="350" spans="2:12" x14ac:dyDescent="0.2">
      <c r="B350" s="163"/>
      <c r="C350" s="163"/>
      <c r="D350" s="163"/>
      <c r="E350" s="163"/>
      <c r="F350" s="163"/>
      <c r="G350" s="163"/>
      <c r="H350" s="163"/>
      <c r="I350" s="163"/>
      <c r="J350" s="163"/>
      <c r="K350" s="176" t="s">
        <v>236</v>
      </c>
      <c r="L350" s="126"/>
    </row>
    <row r="351" spans="2:12" x14ac:dyDescent="0.2">
      <c r="B351" s="163"/>
      <c r="C351" s="163"/>
      <c r="D351" s="163"/>
      <c r="E351" s="163"/>
      <c r="F351" s="163"/>
      <c r="G351" s="163"/>
      <c r="H351" s="163"/>
      <c r="I351" s="163"/>
      <c r="J351" s="163"/>
      <c r="K351" s="174"/>
      <c r="L351" s="126"/>
    </row>
    <row r="352" spans="2:12" x14ac:dyDescent="0.2">
      <c r="B352" s="163"/>
      <c r="C352" s="163"/>
      <c r="D352" s="163"/>
      <c r="E352" s="163"/>
      <c r="F352" s="163"/>
      <c r="G352" s="163"/>
      <c r="H352" s="163"/>
      <c r="I352" s="163"/>
      <c r="J352" s="163"/>
      <c r="K352" s="174" t="s">
        <v>237</v>
      </c>
      <c r="L352" s="333">
        <f>L347-L350</f>
        <v>0</v>
      </c>
    </row>
    <row r="353" spans="2:12" x14ac:dyDescent="0.2">
      <c r="B353" s="163"/>
      <c r="C353" s="163"/>
      <c r="D353" s="163"/>
      <c r="E353" s="163"/>
      <c r="F353" s="163"/>
      <c r="G353" s="163"/>
      <c r="H353" s="163"/>
      <c r="I353" s="163"/>
      <c r="J353" s="163"/>
      <c r="K353" s="163"/>
      <c r="L353" s="163"/>
    </row>
  </sheetData>
  <sheetProtection algorithmName="SHA-512" hashValue="T8sqKrlITWT4JScl4zY86j4MIQGHtslFJW8TFp/diAS+r5zyAiCitZmlCMsK7GXS6zHFMRLAMGC7MdMR6o4/pg==" saltValue="bVz9A7/sLqUYxFj1sCSqsA==" spinCount="100000" sheet="1" autoFilter="0" pivotTables="0"/>
  <autoFilter ref="L20:L341" xr:uid="{00000000-0009-0000-0000-000003000000}"/>
  <mergeCells count="325">
    <mergeCell ref="C327:H327"/>
    <mergeCell ref="C328:H328"/>
    <mergeCell ref="C329:H329"/>
    <mergeCell ref="C330:H330"/>
    <mergeCell ref="C331:H331"/>
    <mergeCell ref="C337:H337"/>
    <mergeCell ref="C332:H332"/>
    <mergeCell ref="C333:H333"/>
    <mergeCell ref="C334:H334"/>
    <mergeCell ref="C335:H335"/>
    <mergeCell ref="C336:H336"/>
    <mergeCell ref="C318:H318"/>
    <mergeCell ref="C319:H319"/>
    <mergeCell ref="C320:H320"/>
    <mergeCell ref="C321:H321"/>
    <mergeCell ref="C322:H322"/>
    <mergeCell ref="C323:H323"/>
    <mergeCell ref="C324:H324"/>
    <mergeCell ref="C325:H325"/>
    <mergeCell ref="C326:H326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295:H295"/>
    <mergeCell ref="C296:H296"/>
    <mergeCell ref="C297:H297"/>
    <mergeCell ref="C298:H298"/>
    <mergeCell ref="C299:H299"/>
    <mergeCell ref="C300:H300"/>
    <mergeCell ref="C301:H301"/>
    <mergeCell ref="C338:H338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4:H294"/>
    <mergeCell ref="C302:H302"/>
    <mergeCell ref="C303:H303"/>
    <mergeCell ref="C304:H304"/>
    <mergeCell ref="C305:H305"/>
    <mergeCell ref="C306:H306"/>
    <mergeCell ref="C307:H307"/>
    <mergeCell ref="C308:H308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68:H268"/>
    <mergeCell ref="C269:H269"/>
    <mergeCell ref="C270:H270"/>
    <mergeCell ref="C271:H271"/>
    <mergeCell ref="C272:H272"/>
    <mergeCell ref="C273:H273"/>
    <mergeCell ref="C274:H274"/>
    <mergeCell ref="C275:H275"/>
    <mergeCell ref="C276:H276"/>
    <mergeCell ref="C259:H259"/>
    <mergeCell ref="C260:H260"/>
    <mergeCell ref="C261:H261"/>
    <mergeCell ref="C262:H262"/>
    <mergeCell ref="C263:H263"/>
    <mergeCell ref="C264:H264"/>
    <mergeCell ref="C265:H265"/>
    <mergeCell ref="C266:H266"/>
    <mergeCell ref="C267:H267"/>
    <mergeCell ref="C250:H250"/>
    <mergeCell ref="C251:H251"/>
    <mergeCell ref="C252:H252"/>
    <mergeCell ref="C253:H253"/>
    <mergeCell ref="C254:H254"/>
    <mergeCell ref="C255:H255"/>
    <mergeCell ref="C256:H256"/>
    <mergeCell ref="C257:H257"/>
    <mergeCell ref="C258:H258"/>
    <mergeCell ref="C241:H241"/>
    <mergeCell ref="C242:H242"/>
    <mergeCell ref="C243:H243"/>
    <mergeCell ref="C244:H244"/>
    <mergeCell ref="C245:H245"/>
    <mergeCell ref="C246:H246"/>
    <mergeCell ref="C247:H247"/>
    <mergeCell ref="C248:H248"/>
    <mergeCell ref="C249:H249"/>
    <mergeCell ref="C232:H232"/>
    <mergeCell ref="C233:H233"/>
    <mergeCell ref="C234:H234"/>
    <mergeCell ref="C235:H235"/>
    <mergeCell ref="C236:H236"/>
    <mergeCell ref="C237:H237"/>
    <mergeCell ref="C238:H238"/>
    <mergeCell ref="C239:H239"/>
    <mergeCell ref="C240:H240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198:H198"/>
    <mergeCell ref="C199:H199"/>
    <mergeCell ref="C200:H200"/>
    <mergeCell ref="C201:H201"/>
    <mergeCell ref="C202:H202"/>
    <mergeCell ref="C339:H339"/>
    <mergeCell ref="C340:H340"/>
    <mergeCell ref="C341:H341"/>
    <mergeCell ref="C193:H193"/>
    <mergeCell ref="C194:H194"/>
    <mergeCell ref="C195:H195"/>
    <mergeCell ref="C196:H196"/>
    <mergeCell ref="C197:H197"/>
    <mergeCell ref="C203:H203"/>
    <mergeCell ref="C204:H204"/>
    <mergeCell ref="C205:H205"/>
    <mergeCell ref="C206:H206"/>
    <mergeCell ref="C207:H207"/>
    <mergeCell ref="C208:H208"/>
    <mergeCell ref="C209:H209"/>
    <mergeCell ref="C210:H210"/>
    <mergeCell ref="C211:H211"/>
    <mergeCell ref="C212:H212"/>
    <mergeCell ref="C213:H213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B9:L9"/>
    <mergeCell ref="C41:H41"/>
    <mergeCell ref="C42:H42"/>
    <mergeCell ref="C43:H43"/>
    <mergeCell ref="C44:H44"/>
    <mergeCell ref="C45:H45"/>
    <mergeCell ref="C46:H46"/>
    <mergeCell ref="C47:H47"/>
    <mergeCell ref="C48:H48"/>
    <mergeCell ref="C36:H36"/>
    <mergeCell ref="C37:H37"/>
    <mergeCell ref="C38:H38"/>
    <mergeCell ref="C39:H39"/>
    <mergeCell ref="C40:H40"/>
    <mergeCell ref="C29:H29"/>
    <mergeCell ref="B12:C12"/>
    <mergeCell ref="D12:E12"/>
    <mergeCell ref="C20:H20"/>
    <mergeCell ref="C21:H21"/>
    <mergeCell ref="C22:H22"/>
    <mergeCell ref="C23:H23"/>
    <mergeCell ref="C24:H24"/>
    <mergeCell ref="C25:H25"/>
    <mergeCell ref="C26:H26"/>
    <mergeCell ref="C27:H27"/>
    <mergeCell ref="C28:H28"/>
    <mergeCell ref="C58:H58"/>
    <mergeCell ref="C59:H59"/>
    <mergeCell ref="C60:H60"/>
    <mergeCell ref="C61:H61"/>
    <mergeCell ref="C65:H65"/>
    <mergeCell ref="C53:H53"/>
    <mergeCell ref="C54:H54"/>
    <mergeCell ref="C55:H55"/>
    <mergeCell ref="C56:H56"/>
    <mergeCell ref="C57:H57"/>
    <mergeCell ref="C49:H49"/>
    <mergeCell ref="C50:H50"/>
    <mergeCell ref="C51:H51"/>
    <mergeCell ref="C52:H52"/>
    <mergeCell ref="C30:H30"/>
    <mergeCell ref="C31:H31"/>
    <mergeCell ref="C32:H32"/>
    <mergeCell ref="C33:H33"/>
    <mergeCell ref="C34:H34"/>
    <mergeCell ref="C35:H35"/>
    <mergeCell ref="C70:H70"/>
    <mergeCell ref="C71:H71"/>
    <mergeCell ref="C72:H72"/>
    <mergeCell ref="C73:H73"/>
    <mergeCell ref="C74:H74"/>
    <mergeCell ref="C66:H66"/>
    <mergeCell ref="C67:H67"/>
    <mergeCell ref="C62:H62"/>
    <mergeCell ref="C63:H63"/>
    <mergeCell ref="C64:H64"/>
    <mergeCell ref="C69:H69"/>
    <mergeCell ref="C68:H68"/>
    <mergeCell ref="C80:H80"/>
    <mergeCell ref="C81:H81"/>
    <mergeCell ref="C82:H82"/>
    <mergeCell ref="C83:H83"/>
    <mergeCell ref="C84:H84"/>
    <mergeCell ref="C75:H75"/>
    <mergeCell ref="C76:H76"/>
    <mergeCell ref="C77:H77"/>
    <mergeCell ref="C78:H78"/>
    <mergeCell ref="C79:H79"/>
    <mergeCell ref="C90:H90"/>
    <mergeCell ref="C91:H91"/>
    <mergeCell ref="C92:H92"/>
    <mergeCell ref="C93:H93"/>
    <mergeCell ref="C94:H94"/>
    <mergeCell ref="C85:H85"/>
    <mergeCell ref="C86:H86"/>
    <mergeCell ref="C87:H87"/>
    <mergeCell ref="C88:H88"/>
    <mergeCell ref="C89:H89"/>
    <mergeCell ref="C100:H100"/>
    <mergeCell ref="C101:H101"/>
    <mergeCell ref="C102:H102"/>
    <mergeCell ref="C103:H103"/>
    <mergeCell ref="C104:H104"/>
    <mergeCell ref="C95:H95"/>
    <mergeCell ref="C96:H96"/>
    <mergeCell ref="C97:H97"/>
    <mergeCell ref="C98:H98"/>
    <mergeCell ref="C99:H99"/>
    <mergeCell ref="C110:H110"/>
    <mergeCell ref="C111:H111"/>
    <mergeCell ref="C112:H112"/>
    <mergeCell ref="C113:H113"/>
    <mergeCell ref="C114:H114"/>
    <mergeCell ref="C105:H105"/>
    <mergeCell ref="C106:H106"/>
    <mergeCell ref="C107:H107"/>
    <mergeCell ref="C108:H108"/>
    <mergeCell ref="C109:H109"/>
    <mergeCell ref="C120:H120"/>
    <mergeCell ref="C121:H121"/>
    <mergeCell ref="C122:H122"/>
    <mergeCell ref="C123:H123"/>
    <mergeCell ref="C124:H124"/>
    <mergeCell ref="C115:H115"/>
    <mergeCell ref="C116:H116"/>
    <mergeCell ref="C117:H117"/>
    <mergeCell ref="C118:H118"/>
    <mergeCell ref="C119:H119"/>
    <mergeCell ref="C130:H130"/>
    <mergeCell ref="C131:H131"/>
    <mergeCell ref="C132:H132"/>
    <mergeCell ref="C133:H133"/>
    <mergeCell ref="C134:H134"/>
    <mergeCell ref="C125:H125"/>
    <mergeCell ref="C126:H126"/>
    <mergeCell ref="C127:H127"/>
    <mergeCell ref="C128:H128"/>
    <mergeCell ref="C129:H129"/>
    <mergeCell ref="C140:H140"/>
    <mergeCell ref="C141:H141"/>
    <mergeCell ref="C142:H142"/>
    <mergeCell ref="C143:H143"/>
    <mergeCell ref="C144:H144"/>
    <mergeCell ref="C135:H135"/>
    <mergeCell ref="C136:H136"/>
    <mergeCell ref="C137:H137"/>
    <mergeCell ref="C138:H138"/>
    <mergeCell ref="C139:H139"/>
    <mergeCell ref="C150:H150"/>
    <mergeCell ref="C151:H151"/>
    <mergeCell ref="C152:H152"/>
    <mergeCell ref="C153:H153"/>
    <mergeCell ref="C154:H154"/>
    <mergeCell ref="C145:H145"/>
    <mergeCell ref="C146:H146"/>
    <mergeCell ref="C147:H147"/>
    <mergeCell ref="C148:H148"/>
    <mergeCell ref="C149:H149"/>
    <mergeCell ref="C160:H160"/>
    <mergeCell ref="C161:H161"/>
    <mergeCell ref="C162:H162"/>
    <mergeCell ref="C163:H163"/>
    <mergeCell ref="C164:H164"/>
    <mergeCell ref="C155:H155"/>
    <mergeCell ref="C156:H156"/>
    <mergeCell ref="C157:H157"/>
    <mergeCell ref="C158:H158"/>
    <mergeCell ref="C159:H159"/>
    <mergeCell ref="C170:H170"/>
    <mergeCell ref="C171:H171"/>
    <mergeCell ref="C172:H172"/>
    <mergeCell ref="C173:H173"/>
    <mergeCell ref="C174:H174"/>
    <mergeCell ref="C165:H165"/>
    <mergeCell ref="C166:H166"/>
    <mergeCell ref="C167:H167"/>
    <mergeCell ref="C168:H168"/>
    <mergeCell ref="C169:H169"/>
    <mergeCell ref="C180:H180"/>
    <mergeCell ref="C181:H181"/>
    <mergeCell ref="C182:H182"/>
    <mergeCell ref="C183:H183"/>
    <mergeCell ref="C175:H175"/>
    <mergeCell ref="C176:H176"/>
    <mergeCell ref="C177:H177"/>
    <mergeCell ref="C178:H178"/>
    <mergeCell ref="C179:H179"/>
  </mergeCells>
  <hyperlinks>
    <hyperlink ref="L6" r:id="rId1" xr:uid="{00000000-0004-0000-0300-000000000000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B5:H24"/>
  <sheetViews>
    <sheetView workbookViewId="0">
      <selection activeCell="B5" sqref="B5:E24"/>
    </sheetView>
  </sheetViews>
  <sheetFormatPr defaultRowHeight="12.75" x14ac:dyDescent="0.2"/>
  <cols>
    <col min="2" max="2" width="4.28515625" customWidth="1"/>
    <col min="3" max="3" width="27" customWidth="1"/>
    <col min="4" max="5" width="11.28515625" customWidth="1"/>
  </cols>
  <sheetData>
    <row r="5" spans="2:8" ht="15" x14ac:dyDescent="0.25">
      <c r="B5" s="391" t="s">
        <v>273</v>
      </c>
      <c r="C5" s="391"/>
      <c r="D5" s="386">
        <f>Бланк!$D$10</f>
        <v>0</v>
      </c>
      <c r="E5" s="386"/>
    </row>
    <row r="6" spans="2:8" ht="15" x14ac:dyDescent="0.25">
      <c r="B6" s="96"/>
      <c r="C6" s="96"/>
      <c r="D6" s="97"/>
      <c r="E6" s="97"/>
    </row>
    <row r="7" spans="2:8" ht="15" x14ac:dyDescent="0.25">
      <c r="B7" s="96"/>
      <c r="C7" s="90" t="s">
        <v>238</v>
      </c>
      <c r="D7" s="91">
        <f>Бланк!$AC$10</f>
        <v>0</v>
      </c>
      <c r="E7" s="97"/>
    </row>
    <row r="8" spans="2:8" ht="15" x14ac:dyDescent="0.25">
      <c r="B8" s="96"/>
      <c r="C8" s="90" t="s">
        <v>239</v>
      </c>
      <c r="D8">
        <f>Бланк!$AC$11</f>
        <v>0</v>
      </c>
      <c r="E8" s="97"/>
    </row>
    <row r="9" spans="2:8" ht="15" x14ac:dyDescent="0.25">
      <c r="B9" s="96"/>
      <c r="C9" s="96"/>
      <c r="D9" s="97"/>
      <c r="E9" s="97"/>
    </row>
    <row r="10" spans="2:8" ht="15" x14ac:dyDescent="0.25">
      <c r="B10" s="96"/>
      <c r="C10" s="96"/>
      <c r="D10" s="97"/>
      <c r="E10" s="97"/>
    </row>
    <row r="12" spans="2:8" ht="28.5" customHeight="1" x14ac:dyDescent="0.2">
      <c r="B12" s="77" t="s">
        <v>3</v>
      </c>
      <c r="C12" s="99" t="s">
        <v>230</v>
      </c>
      <c r="D12" s="93" t="s">
        <v>103</v>
      </c>
      <c r="E12" s="93" t="s">
        <v>227</v>
      </c>
      <c r="F12" s="22"/>
      <c r="G12" s="22"/>
      <c r="H12" s="22"/>
    </row>
    <row r="13" spans="2:8" x14ac:dyDescent="0.2">
      <c r="B13" s="92">
        <v>1</v>
      </c>
      <c r="C13" s="92" t="s">
        <v>266</v>
      </c>
      <c r="D13" s="92" t="s">
        <v>272</v>
      </c>
      <c r="E13" s="100">
        <f>SUMIF(Бланк!$F$22:$F$65,4,Бланк!$AI$21:$AI$65)</f>
        <v>0</v>
      </c>
    </row>
    <row r="14" spans="2:8" x14ac:dyDescent="0.2">
      <c r="B14" s="92">
        <v>2</v>
      </c>
      <c r="C14" s="92" t="s">
        <v>267</v>
      </c>
      <c r="D14" s="92" t="s">
        <v>272</v>
      </c>
      <c r="E14" s="100">
        <f>SUMIF(Бланк!$F$22:$F$65,6,Бланк!$AI$21:$AI$65)</f>
        <v>0</v>
      </c>
    </row>
    <row r="15" spans="2:8" x14ac:dyDescent="0.2">
      <c r="B15" s="92">
        <v>3</v>
      </c>
      <c r="C15" s="92" t="s">
        <v>268</v>
      </c>
      <c r="D15" s="92" t="s">
        <v>272</v>
      </c>
      <c r="E15" s="100">
        <f>SUMIF(Бланк!$F$22:$F$65,8,Бланк!$AI$21:$AI$65)</f>
        <v>0</v>
      </c>
    </row>
    <row r="16" spans="2:8" x14ac:dyDescent="0.2">
      <c r="B16" s="92">
        <v>4</v>
      </c>
      <c r="C16" s="92" t="s">
        <v>269</v>
      </c>
      <c r="D16" s="92" t="s">
        <v>272</v>
      </c>
      <c r="E16" s="100">
        <f>SUMIF(Бланк!$F$22:$F$65,10,Бланк!$AI$21:$AI$65)</f>
        <v>0</v>
      </c>
    </row>
    <row r="17" spans="2:5" x14ac:dyDescent="0.2">
      <c r="B17" s="92">
        <v>5</v>
      </c>
      <c r="C17" s="92" t="s">
        <v>270</v>
      </c>
      <c r="D17" s="92" t="s">
        <v>272</v>
      </c>
      <c r="E17" s="100">
        <f>SUMIF(Бланк!$F$22:$F$65,16,Бланк!$AI$21:$AI$65)</f>
        <v>0</v>
      </c>
    </row>
    <row r="18" spans="2:5" x14ac:dyDescent="0.2">
      <c r="B18" s="92">
        <v>6</v>
      </c>
      <c r="C18" s="92" t="s">
        <v>271</v>
      </c>
      <c r="D18" s="92" t="s">
        <v>272</v>
      </c>
      <c r="E18" s="100">
        <f>SUMIF(Бланк!$F$22:$F$65,19,Бланк!$AI$21:$AI$65)</f>
        <v>0</v>
      </c>
    </row>
    <row r="19" spans="2:5" x14ac:dyDescent="0.2">
      <c r="B19" s="92"/>
      <c r="C19" s="92"/>
      <c r="D19" s="92"/>
      <c r="E19" s="92"/>
    </row>
    <row r="20" spans="2:5" x14ac:dyDescent="0.2">
      <c r="B20" s="92"/>
      <c r="C20" s="92"/>
      <c r="D20" s="92"/>
      <c r="E20" s="92"/>
    </row>
    <row r="21" spans="2:5" x14ac:dyDescent="0.2">
      <c r="B21" s="92"/>
      <c r="C21" s="92"/>
      <c r="D21" s="92"/>
      <c r="E21" s="92"/>
    </row>
    <row r="22" spans="2:5" x14ac:dyDescent="0.2">
      <c r="B22" s="92"/>
      <c r="C22" s="92"/>
      <c r="D22" s="92"/>
      <c r="E22" s="92"/>
    </row>
    <row r="23" spans="2:5" x14ac:dyDescent="0.2">
      <c r="B23" s="92"/>
      <c r="C23" s="92"/>
      <c r="D23" s="92"/>
      <c r="E23" s="92"/>
    </row>
    <row r="24" spans="2:5" x14ac:dyDescent="0.2">
      <c r="E24" s="101">
        <f>SUM(E13:E23)</f>
        <v>0</v>
      </c>
    </row>
  </sheetData>
  <sheetProtection algorithmName="SHA-512" hashValue="XfEHeZI5x/uZFutmzY8KYEFxvovjQImR45NMstFGkLpO01rgf4OFIUH0wPFzl/38G6VqjhZ1u9BBSUTolp0LLA==" saltValue="AEVKBZ8wakX3BnEZTbqicg==" spinCount="100000" sheet="1" objects="1" scenarios="1"/>
  <mergeCells count="2">
    <mergeCell ref="B5:C5"/>
    <mergeCell ref="D5:E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/>
  <dimension ref="B5:F80"/>
  <sheetViews>
    <sheetView workbookViewId="0">
      <selection activeCell="S12" sqref="S12"/>
    </sheetView>
  </sheetViews>
  <sheetFormatPr defaultRowHeight="12.75" x14ac:dyDescent="0.2"/>
  <cols>
    <col min="2" max="2" width="3.5703125" customWidth="1"/>
    <col min="3" max="3" width="21.85546875" customWidth="1"/>
    <col min="4" max="4" width="12.7109375" customWidth="1"/>
    <col min="5" max="5" width="10.28515625" customWidth="1"/>
    <col min="6" max="6" width="5.85546875" bestFit="1" customWidth="1"/>
  </cols>
  <sheetData>
    <row r="5" spans="2:6" ht="15" x14ac:dyDescent="0.25">
      <c r="B5" s="391" t="s">
        <v>274</v>
      </c>
      <c r="C5" s="391"/>
      <c r="D5" s="96"/>
      <c r="E5" s="386">
        <f>Бланк!$D$10</f>
        <v>0</v>
      </c>
      <c r="F5" s="386"/>
    </row>
    <row r="6" spans="2:6" ht="15" x14ac:dyDescent="0.25">
      <c r="B6" s="96"/>
      <c r="C6" s="96"/>
      <c r="D6" s="96"/>
      <c r="E6" s="97"/>
      <c r="F6" s="97"/>
    </row>
    <row r="7" spans="2:6" ht="15" x14ac:dyDescent="0.25">
      <c r="B7" s="96"/>
      <c r="C7" s="90" t="s">
        <v>238</v>
      </c>
      <c r="D7" s="90"/>
      <c r="E7" s="91">
        <f>Бланк!$AC$10</f>
        <v>0</v>
      </c>
      <c r="F7" s="97"/>
    </row>
    <row r="8" spans="2:6" ht="15" x14ac:dyDescent="0.25">
      <c r="B8" s="96"/>
      <c r="C8" s="90" t="s">
        <v>239</v>
      </c>
      <c r="D8" s="90"/>
      <c r="E8">
        <f>Бланк!$AC$11</f>
        <v>0</v>
      </c>
      <c r="F8" s="97"/>
    </row>
    <row r="9" spans="2:6" ht="15" x14ac:dyDescent="0.25">
      <c r="B9" s="96"/>
      <c r="C9" s="96"/>
      <c r="D9" s="96"/>
      <c r="E9" s="97"/>
      <c r="F9" s="97"/>
    </row>
    <row r="10" spans="2:6" ht="30" x14ac:dyDescent="0.25">
      <c r="B10" s="96"/>
      <c r="C10" s="103" t="s">
        <v>275</v>
      </c>
      <c r="D10" s="103">
        <v>0.3</v>
      </c>
      <c r="E10" s="97"/>
      <c r="F10" s="97"/>
    </row>
    <row r="12" spans="2:6" ht="25.5" x14ac:dyDescent="0.2">
      <c r="B12" s="77" t="s">
        <v>3</v>
      </c>
      <c r="C12" s="102" t="s">
        <v>82</v>
      </c>
      <c r="D12" s="93" t="s">
        <v>103</v>
      </c>
      <c r="E12" s="93" t="s">
        <v>227</v>
      </c>
    </row>
    <row r="13" spans="2:6" ht="14.25" x14ac:dyDescent="0.2">
      <c r="B13" s="92">
        <v>1</v>
      </c>
      <c r="C13" s="92" t="str">
        <f t="array" ref="C13">IFERROR(INDEX(Цвет, MATCH(0,COUNTIF($C$12:C12,Цвет),0)),"")</f>
        <v/>
      </c>
      <c r="D13" s="92" t="s">
        <v>276</v>
      </c>
      <c r="E13" s="106">
        <f t="shared" ref="E13:E21" si="0">SUMIF(Цвет,C13,Объем)</f>
        <v>0</v>
      </c>
    </row>
    <row r="14" spans="2:6" ht="14.25" x14ac:dyDescent="0.2">
      <c r="B14" s="92">
        <v>2</v>
      </c>
      <c r="C14" s="92" t="str">
        <f t="array" ref="C14">IFERROR(INDEX(Цвет, MATCH(0,COUNTIF($C$12:C13,Цвет),0)),"")</f>
        <v/>
      </c>
      <c r="D14" s="92" t="s">
        <v>276</v>
      </c>
      <c r="E14" s="106">
        <f t="shared" si="0"/>
        <v>0</v>
      </c>
    </row>
    <row r="15" spans="2:6" ht="14.25" x14ac:dyDescent="0.2">
      <c r="B15" s="92">
        <v>3</v>
      </c>
      <c r="C15" s="92" t="str">
        <f t="array" ref="C15">IFERROR(INDEX(Цвет, MATCH(0,COUNTIF($C$12:C14,Цвет),0)),"")</f>
        <v/>
      </c>
      <c r="D15" s="92" t="s">
        <v>276</v>
      </c>
      <c r="E15" s="106">
        <f t="shared" si="0"/>
        <v>0</v>
      </c>
    </row>
    <row r="16" spans="2:6" ht="14.25" x14ac:dyDescent="0.2">
      <c r="B16" s="92">
        <v>4</v>
      </c>
      <c r="C16" s="92" t="str">
        <f t="array" ref="C16">IFERROR(INDEX(Цвет, MATCH(0,COUNTIF($C$12:C15,Цвет),0)),"")</f>
        <v/>
      </c>
      <c r="D16" s="92" t="s">
        <v>276</v>
      </c>
      <c r="E16" s="106">
        <f t="shared" si="0"/>
        <v>0</v>
      </c>
    </row>
    <row r="17" spans="2:5" ht="14.25" x14ac:dyDescent="0.2">
      <c r="B17" s="92">
        <v>5</v>
      </c>
      <c r="C17" s="92" t="str">
        <f t="array" ref="C17">IFERROR(INDEX(Цвет, MATCH(0,COUNTIF($C$12:C16,Цвет),0)),"")</f>
        <v/>
      </c>
      <c r="D17" s="92" t="s">
        <v>276</v>
      </c>
      <c r="E17" s="106">
        <f t="shared" si="0"/>
        <v>0</v>
      </c>
    </row>
    <row r="18" spans="2:5" ht="14.25" x14ac:dyDescent="0.2">
      <c r="B18" s="92">
        <v>6</v>
      </c>
      <c r="C18" s="92" t="str">
        <f t="array" ref="C18">IFERROR(INDEX(Цвет, MATCH(0,COUNTIF($C$12:C17,Цвет),0)),"")</f>
        <v/>
      </c>
      <c r="D18" s="92" t="s">
        <v>276</v>
      </c>
      <c r="E18" s="106">
        <f t="shared" si="0"/>
        <v>0</v>
      </c>
    </row>
    <row r="19" spans="2:5" ht="14.25" x14ac:dyDescent="0.2">
      <c r="B19" s="92">
        <v>7</v>
      </c>
      <c r="C19" s="92" t="str">
        <f t="array" ref="C19">IFERROR(INDEX(Цвет, MATCH(0,COUNTIF($C$12:C18,Цвет),0)),"")</f>
        <v/>
      </c>
      <c r="D19" s="92" t="s">
        <v>276</v>
      </c>
      <c r="E19" s="106">
        <f t="shared" si="0"/>
        <v>0</v>
      </c>
    </row>
    <row r="20" spans="2:5" ht="14.25" x14ac:dyDescent="0.2">
      <c r="B20" s="92">
        <v>8</v>
      </c>
      <c r="C20" s="92" t="str">
        <f t="array" ref="C20">IFERROR(INDEX(Цвет, MATCH(0,COUNTIF($C$12:C19,Цвет),0)),"")</f>
        <v/>
      </c>
      <c r="D20" s="92" t="s">
        <v>276</v>
      </c>
      <c r="E20" s="106">
        <f t="shared" si="0"/>
        <v>0</v>
      </c>
    </row>
    <row r="21" spans="2:5" ht="15" thickBot="1" x14ac:dyDescent="0.25">
      <c r="B21" s="92">
        <v>9</v>
      </c>
      <c r="C21" s="92" t="str">
        <f t="array" ref="C21">IFERROR(INDEX(Цвет, MATCH(0,COUNTIF($C$12:C20,Цвет),0)),"")</f>
        <v/>
      </c>
      <c r="D21" s="104" t="s">
        <v>276</v>
      </c>
      <c r="E21" s="106">
        <f t="shared" si="0"/>
        <v>0</v>
      </c>
    </row>
    <row r="22" spans="2:5" ht="15" thickBot="1" x14ac:dyDescent="0.25">
      <c r="D22" s="105" t="s">
        <v>277</v>
      </c>
      <c r="E22" s="107">
        <f>SUM(E13:E21)</f>
        <v>0</v>
      </c>
    </row>
    <row r="34" spans="2:6" ht="25.5" hidden="1" x14ac:dyDescent="0.2">
      <c r="B34" s="77" t="s">
        <v>3</v>
      </c>
      <c r="C34" s="102" t="s">
        <v>82</v>
      </c>
      <c r="D34" s="98" t="s">
        <v>83</v>
      </c>
      <c r="E34" s="93" t="s">
        <v>103</v>
      </c>
      <c r="F34" s="93" t="s">
        <v>227</v>
      </c>
    </row>
    <row r="35" spans="2:6" hidden="1" x14ac:dyDescent="0.2">
      <c r="B35" s="92">
        <v>1</v>
      </c>
      <c r="C35" s="92" t="str">
        <f>IF(Бланк!$R21="","",IF(Бланк!$R21="RAL",CONCATENATE("RAL",Бланк!$S21),IF(Бланк!$R21="NCS",CONCATENATE("NCS",Бланк!$S21),IF(Бланк!$R21="Mobihel",CONCATENATE("Mobihel",Бланк!$S21),IF(Бланк!$R21="Unicolor",CONCATENATE("Unicolor",Бланк!$S21),IF(Бланк!$R21="Autocolor",CONCATENATE("autocolor",Бланк!$S21),IF(Бланк!$R21="Білий базовий","RAL9003","")))))))</f>
        <v/>
      </c>
      <c r="D35" s="92" t="str">
        <f>IF(Бланк!$T21="","",Бланк!$T21)</f>
        <v/>
      </c>
      <c r="E35" s="92" t="s">
        <v>276</v>
      </c>
      <c r="F35" s="100" t="str">
        <f>IF(OR(Бланк!$AI21="",Бланк!$AI21=0),"",Бланк!$AI21*$D$10)</f>
        <v/>
      </c>
    </row>
    <row r="36" spans="2:6" hidden="1" x14ac:dyDescent="0.2">
      <c r="B36" s="92">
        <v>2</v>
      </c>
      <c r="C36" s="92" t="str">
        <f>IF(Бланк!$R22="","",IF(Бланк!$R22="RAL",CONCATENATE("RAL",Бланк!$S22),IF(Бланк!$R22="NCS",CONCATENATE("NCS",Бланк!$S22),IF(Бланк!$R22="Mobihel",CONCATENATE("Mobihel",Бланк!$S22),IF(Бланк!$R22="Unicolor",CONCATENATE("Unicolor",Бланк!$S22),IF(Бланк!$R22="Autocolor",CONCATENATE("autocolor",Бланк!$S22),IF(Бланк!$R22="Білий базовий","RAL9003","")))))))</f>
        <v/>
      </c>
      <c r="D36" s="92" t="str">
        <f>IF(Бланк!$T22="","",Бланк!$T22)</f>
        <v/>
      </c>
      <c r="E36" s="92" t="s">
        <v>276</v>
      </c>
      <c r="F36" s="100" t="str">
        <f>IF(OR(Бланк!$AI22="",Бланк!$AI22=0),"",Бланк!$AI22*$D$10)</f>
        <v/>
      </c>
    </row>
    <row r="37" spans="2:6" hidden="1" x14ac:dyDescent="0.2">
      <c r="B37" s="92">
        <v>3</v>
      </c>
      <c r="C37" s="92" t="str">
        <f>IF(Бланк!$R23="","",IF(Бланк!$R23="RAL",CONCATENATE("RAL",Бланк!$S23),IF(Бланк!$R23="NCS",CONCATENATE("NCS",Бланк!$S23),IF(Бланк!$R23="Mobihel",CONCATENATE("Mobihel",Бланк!$S23),IF(Бланк!$R23="Unicolor",CONCATENATE("Unicolor",Бланк!$S23),IF(Бланк!$R23="Autocolor",CONCATENATE("autocolor",Бланк!$S23),IF(Бланк!$R23="Білий базовий","RAL9003","")))))))</f>
        <v/>
      </c>
      <c r="D37" s="92" t="str">
        <f>IF(Бланк!$T23="","",Бланк!$T23)</f>
        <v/>
      </c>
      <c r="E37" s="92" t="s">
        <v>276</v>
      </c>
      <c r="F37" s="100" t="str">
        <f>IF(OR(Бланк!$AI23="",Бланк!$AI23=0),"",Бланк!$AI23*$D$10)</f>
        <v/>
      </c>
    </row>
    <row r="38" spans="2:6" hidden="1" x14ac:dyDescent="0.2">
      <c r="B38" s="92">
        <v>4</v>
      </c>
      <c r="C38" s="92" t="str">
        <f>IF(Бланк!$R24="","",IF(Бланк!$R24="RAL",CONCATENATE("RAL",Бланк!$S24),IF(Бланк!$R24="NCS",CONCATENATE("NCS",Бланк!$S24),IF(Бланк!$R24="Mobihel",CONCATENATE("Mobihel",Бланк!$S24),IF(Бланк!$R24="Unicolor",CONCATENATE("Unicolor",Бланк!$S24),IF(Бланк!$R24="Autocolor",CONCATENATE("autocolor",Бланк!$S24),IF(Бланк!$R24="Білий базовий","RAL9003","")))))))</f>
        <v/>
      </c>
      <c r="D38" s="92" t="str">
        <f>IF(Бланк!$T24="","",Бланк!$T24)</f>
        <v/>
      </c>
      <c r="E38" s="92" t="s">
        <v>276</v>
      </c>
      <c r="F38" s="100" t="str">
        <f>IF(OR(Бланк!$AI24="",Бланк!$AI24=0),"",Бланк!$AI24*$D$10)</f>
        <v/>
      </c>
    </row>
    <row r="39" spans="2:6" hidden="1" x14ac:dyDescent="0.2">
      <c r="B39" s="92">
        <v>5</v>
      </c>
      <c r="C39" s="92" t="str">
        <f>IF(Бланк!$R25="","",IF(Бланк!$R25="RAL",CONCATENATE("RAL",Бланк!$S25),IF(Бланк!$R25="NCS",CONCATENATE("NCS",Бланк!$S25),IF(Бланк!$R25="Mobihel",CONCATENATE("Mobihel",Бланк!$S25),IF(Бланк!$R25="Unicolor",CONCATENATE("Unicolor",Бланк!$S25),IF(Бланк!$R25="Autocolor",CONCATENATE("autocolor",Бланк!$S25),IF(Бланк!$R25="Білий базовий","RAL9003","")))))))</f>
        <v/>
      </c>
      <c r="D39" s="92" t="str">
        <f>IF(Бланк!$T25="","",Бланк!$T25)</f>
        <v/>
      </c>
      <c r="E39" s="92" t="s">
        <v>276</v>
      </c>
      <c r="F39" s="100" t="str">
        <f>IF(OR(Бланк!$AI25="",Бланк!$AI25=0),"",Бланк!$AI25*$D$10)</f>
        <v/>
      </c>
    </row>
    <row r="40" spans="2:6" hidden="1" x14ac:dyDescent="0.2">
      <c r="B40" s="92">
        <v>6</v>
      </c>
      <c r="C40" s="92" t="str">
        <f>IF(Бланк!$R26="","",IF(Бланк!$R26="RAL",CONCATENATE("RAL",Бланк!$S26),IF(Бланк!$R26="NCS",CONCATENATE("NCS",Бланк!$S26),IF(Бланк!$R26="Mobihel",CONCATENATE("Mobihel",Бланк!$S26),IF(Бланк!$R26="Unicolor",CONCATENATE("Unicolor",Бланк!$S26),IF(Бланк!$R26="Autocolor",CONCATENATE("autocolor",Бланк!$S26),IF(Бланк!$R26="Білий базовий","RAL9003","")))))))</f>
        <v/>
      </c>
      <c r="D40" s="92" t="str">
        <f>IF(Бланк!$T26="","",Бланк!$T26)</f>
        <v/>
      </c>
      <c r="E40" s="92" t="s">
        <v>276</v>
      </c>
      <c r="F40" s="100" t="str">
        <f>IF(OR(Бланк!$AI26="",Бланк!$AI26=0),"",Бланк!$AI26*$D$10)</f>
        <v/>
      </c>
    </row>
    <row r="41" spans="2:6" hidden="1" x14ac:dyDescent="0.2">
      <c r="B41" s="92">
        <v>7</v>
      </c>
      <c r="C41" s="92" t="str">
        <f>IF(Бланк!$R27="","",IF(Бланк!$R27="RAL",CONCATENATE("RAL",Бланк!$S27),IF(Бланк!$R27="NCS",CONCATENATE("NCS",Бланк!$S27),IF(Бланк!$R27="Mobihel",CONCATENATE("Mobihel",Бланк!$S27),IF(Бланк!$R27="Unicolor",CONCATENATE("Unicolor",Бланк!$S27),IF(Бланк!$R27="Autocolor",CONCATENATE("autocolor",Бланк!$S27),IF(Бланк!$R27="Білий базовий","RAL9003","")))))))</f>
        <v/>
      </c>
      <c r="D41" s="92" t="str">
        <f>IF(Бланк!$T27="","",Бланк!$T27)</f>
        <v/>
      </c>
      <c r="E41" s="92" t="s">
        <v>276</v>
      </c>
      <c r="F41" s="100" t="str">
        <f>IF(OR(Бланк!$AI27="",Бланк!$AI27=0),"",Бланк!$AI27*$D$10)</f>
        <v/>
      </c>
    </row>
    <row r="42" spans="2:6" hidden="1" x14ac:dyDescent="0.2">
      <c r="B42" s="92">
        <v>8</v>
      </c>
      <c r="C42" s="92" t="str">
        <f>IF(Бланк!$R28="","",IF(Бланк!$R28="RAL",CONCATENATE("RAL",Бланк!$S28),IF(Бланк!$R28="NCS",CONCATENATE("NCS",Бланк!$S28),IF(Бланк!$R28="Mobihel",CONCATENATE("Mobihel",Бланк!$S28),IF(Бланк!$R28="Unicolor",CONCATENATE("Unicolor",Бланк!$S28),IF(Бланк!$R28="Autocolor",CONCATENATE("autocolor",Бланк!$S28),IF(Бланк!$R28="Білий базовий","RAL9003","")))))))</f>
        <v/>
      </c>
      <c r="D42" s="92" t="str">
        <f>IF(Бланк!$T28="","",Бланк!$T28)</f>
        <v/>
      </c>
      <c r="E42" s="92" t="s">
        <v>276</v>
      </c>
      <c r="F42" s="100" t="str">
        <f>IF(OR(Бланк!$AI28="",Бланк!$AI28=0),"",Бланк!$AI28*$D$10)</f>
        <v/>
      </c>
    </row>
    <row r="43" spans="2:6" hidden="1" x14ac:dyDescent="0.2">
      <c r="B43" s="92">
        <v>9</v>
      </c>
      <c r="C43" s="92" t="str">
        <f>IF(Бланк!$R29="","",IF(Бланк!$R29="RAL",CONCATENATE("RAL",Бланк!$S29),IF(Бланк!$R29="NCS",CONCATENATE("NCS",Бланк!$S29),IF(Бланк!$R29="Mobihel",CONCATENATE("Mobihel",Бланк!$S29),IF(Бланк!$R29="Unicolor",CONCATENATE("Unicolor",Бланк!$S29),IF(Бланк!$R29="Autocolor",CONCATENATE("autocolor",Бланк!$S29),IF(Бланк!$R29="Білий базовий","RAL9003","")))))))</f>
        <v/>
      </c>
      <c r="D43" s="92" t="str">
        <f>IF(Бланк!$T29="","",Бланк!$T29)</f>
        <v/>
      </c>
      <c r="E43" s="92" t="s">
        <v>276</v>
      </c>
      <c r="F43" s="100" t="str">
        <f>IF(OR(Бланк!$AI29="",Бланк!$AI29=0),"",Бланк!$AI29*$D$10)</f>
        <v/>
      </c>
    </row>
    <row r="44" spans="2:6" hidden="1" x14ac:dyDescent="0.2">
      <c r="B44" s="92">
        <v>10</v>
      </c>
      <c r="C44" s="92" t="str">
        <f>IF(Бланк!$R30="","",IF(Бланк!$R30="RAL",CONCATENATE("RAL",Бланк!$S30),IF(Бланк!$R30="NCS",CONCATENATE("NCS",Бланк!$S30),IF(Бланк!$R30="Mobihel",CONCATENATE("Mobihel",Бланк!$S30),IF(Бланк!$R30="Unicolor",CONCATENATE("Unicolor",Бланк!$S30),IF(Бланк!$R30="Autocolor",CONCATENATE("autocolor",Бланк!$S30),IF(Бланк!$R30="Білий базовий","RAL9003","")))))))</f>
        <v/>
      </c>
      <c r="D44" s="92" t="str">
        <f>IF(Бланк!$T30="","",Бланк!$T30)</f>
        <v/>
      </c>
      <c r="E44" s="92" t="s">
        <v>276</v>
      </c>
      <c r="F44" s="100" t="str">
        <f>IF(OR(Бланк!$AI30="",Бланк!$AI30=0),"",Бланк!$AI30*$D$10)</f>
        <v/>
      </c>
    </row>
    <row r="45" spans="2:6" hidden="1" x14ac:dyDescent="0.2">
      <c r="B45" s="92">
        <v>11</v>
      </c>
      <c r="C45" s="92" t="str">
        <f>IF(Бланк!$R31="","",IF(Бланк!$R31="RAL",CONCATENATE("RAL",Бланк!$S31),IF(Бланк!$R31="NCS",CONCATENATE("NCS",Бланк!$S31),IF(Бланк!$R31="Mobihel",CONCATENATE("Mobihel",Бланк!$S31),IF(Бланк!$R31="Unicolor",CONCATENATE("Unicolor",Бланк!$S31),IF(Бланк!$R31="Autocolor",CONCATENATE("autocolor",Бланк!$S31),IF(Бланк!$R31="Білий базовий","RAL9003","")))))))</f>
        <v/>
      </c>
      <c r="D45" s="92" t="str">
        <f>IF(Бланк!$T31="","",Бланк!$T31)</f>
        <v/>
      </c>
      <c r="E45" s="92" t="s">
        <v>276</v>
      </c>
      <c r="F45" s="100" t="str">
        <f>IF(OR(Бланк!$AI31="",Бланк!$AI31=0),"",Бланк!$AI31*$D$10)</f>
        <v/>
      </c>
    </row>
    <row r="46" spans="2:6" hidden="1" x14ac:dyDescent="0.2">
      <c r="B46" s="92">
        <v>12</v>
      </c>
      <c r="C46" s="92" t="str">
        <f>IF(Бланк!$R32="","",IF(Бланк!$R32="RAL",CONCATENATE("RAL",Бланк!$S32),IF(Бланк!$R32="NCS",CONCATENATE("NCS",Бланк!$S32),IF(Бланк!$R32="Mobihel",CONCATENATE("Mobihel",Бланк!$S32),IF(Бланк!$R32="Unicolor",CONCATENATE("Unicolor",Бланк!$S32),IF(Бланк!$R32="Autocolor",CONCATENATE("autocolor",Бланк!$S32),IF(Бланк!$R32="Білий базовий","RAL9003","")))))))</f>
        <v/>
      </c>
      <c r="D46" s="92" t="str">
        <f>IF(Бланк!$T32="","",Бланк!$T32)</f>
        <v/>
      </c>
      <c r="E46" s="92" t="s">
        <v>276</v>
      </c>
      <c r="F46" s="100" t="str">
        <f>IF(OR(Бланк!$AI32="",Бланк!$AI32=0),"",Бланк!$AI32*$D$10)</f>
        <v/>
      </c>
    </row>
    <row r="47" spans="2:6" hidden="1" x14ac:dyDescent="0.2">
      <c r="B47" s="92">
        <v>13</v>
      </c>
      <c r="C47" s="92" t="str">
        <f>IF(Бланк!$R33="","",IF(Бланк!$R33="RAL",CONCATENATE("RAL",Бланк!$S33),IF(Бланк!$R33="NCS",CONCATENATE("NCS",Бланк!$S33),IF(Бланк!$R33="Mobihel",CONCATENATE("Mobihel",Бланк!$S33),IF(Бланк!$R33="Unicolor",CONCATENATE("Unicolor",Бланк!$S33),IF(Бланк!$R33="Autocolor",CONCATENATE("autocolor",Бланк!$S33),IF(Бланк!$R33="Білий базовий","RAL9003","")))))))</f>
        <v/>
      </c>
      <c r="D47" s="92" t="str">
        <f>IF(Бланк!$T33="","",Бланк!$T33)</f>
        <v/>
      </c>
      <c r="E47" s="92" t="s">
        <v>276</v>
      </c>
      <c r="F47" s="100" t="str">
        <f>IF(OR(Бланк!$AI33="",Бланк!$AI33=0),"",Бланк!$AI33*$D$10)</f>
        <v/>
      </c>
    </row>
    <row r="48" spans="2:6" hidden="1" x14ac:dyDescent="0.2">
      <c r="B48" s="92">
        <v>14</v>
      </c>
      <c r="C48" s="92" t="str">
        <f>IF(Бланк!$R34="","",IF(Бланк!$R34="RAL",CONCATENATE("RAL",Бланк!$S34),IF(Бланк!$R34="NCS",CONCATENATE("NCS",Бланк!$S34),IF(Бланк!$R34="Mobihel",CONCATENATE("Mobihel",Бланк!$S34),IF(Бланк!$R34="Unicolor",CONCATENATE("Unicolor",Бланк!$S34),IF(Бланк!$R34="Autocolor",CONCATENATE("autocolor",Бланк!$S34),IF(Бланк!$R34="Білий базовий","RAL9003","")))))))</f>
        <v/>
      </c>
      <c r="D48" s="92" t="str">
        <f>IF(Бланк!$T34="","",Бланк!$T34)</f>
        <v/>
      </c>
      <c r="E48" s="92" t="s">
        <v>276</v>
      </c>
      <c r="F48" s="100" t="str">
        <f>IF(OR(Бланк!$AI34="",Бланк!$AI34=0),"",Бланк!$AI34*$D$10)</f>
        <v/>
      </c>
    </row>
    <row r="49" spans="2:6" hidden="1" x14ac:dyDescent="0.2">
      <c r="B49" s="92">
        <v>15</v>
      </c>
      <c r="C49" s="92" t="str">
        <f>IF(Бланк!$R35="","",IF(Бланк!$R35="RAL",CONCATENATE("RAL",Бланк!$S35),IF(Бланк!$R35="NCS",CONCATENATE("NCS",Бланк!$S35),IF(Бланк!$R35="Mobihel",CONCATENATE("Mobihel",Бланк!$S35),IF(Бланк!$R35="Unicolor",CONCATENATE("Unicolor",Бланк!$S35),IF(Бланк!$R35="Autocolor",CONCATENATE("autocolor",Бланк!$S35),IF(Бланк!$R35="Білий базовий","RAL9003","")))))))</f>
        <v/>
      </c>
      <c r="D49" s="92" t="str">
        <f>IF(Бланк!$T35="","",Бланк!$T35)</f>
        <v/>
      </c>
      <c r="E49" s="92" t="s">
        <v>276</v>
      </c>
      <c r="F49" s="100" t="str">
        <f>IF(OR(Бланк!$AI35="",Бланк!$AI35=0),"",Бланк!$AI35*$D$10)</f>
        <v/>
      </c>
    </row>
    <row r="50" spans="2:6" hidden="1" x14ac:dyDescent="0.2">
      <c r="B50" s="92">
        <v>16</v>
      </c>
      <c r="C50" s="92" t="str">
        <f>IF(Бланк!$R36="","",IF(Бланк!$R36="RAL",CONCATENATE("RAL",Бланк!$S36),IF(Бланк!$R36="NCS",CONCATENATE("NCS",Бланк!$S36),IF(Бланк!$R36="Mobihel",CONCATENATE("Mobihel",Бланк!$S36),IF(Бланк!$R36="Unicolor",CONCATENATE("Unicolor",Бланк!$S36),IF(Бланк!$R36="Autocolor",CONCATENATE("autocolor",Бланк!$S36),IF(Бланк!$R36="Білий базовий","RAL9003","")))))))</f>
        <v/>
      </c>
      <c r="D50" s="92" t="str">
        <f>IF(Бланк!$T36="","",Бланк!$T36)</f>
        <v/>
      </c>
      <c r="E50" s="92" t="s">
        <v>276</v>
      </c>
      <c r="F50" s="100" t="str">
        <f>IF(OR(Бланк!$AI36="",Бланк!$AI36=0),"",Бланк!$AI36*$D$10)</f>
        <v/>
      </c>
    </row>
    <row r="51" spans="2:6" hidden="1" x14ac:dyDescent="0.2">
      <c r="B51" s="92">
        <v>17</v>
      </c>
      <c r="C51" s="92" t="str">
        <f>IF(Бланк!$R37="","",IF(Бланк!$R37="RAL",CONCATENATE("RAL",Бланк!$S37),IF(Бланк!$R37="NCS",CONCATENATE("NCS",Бланк!$S37),IF(Бланк!$R37="Mobihel",CONCATENATE("Mobihel",Бланк!$S37),IF(Бланк!$R37="Unicolor",CONCATENATE("Unicolor",Бланк!$S37),IF(Бланк!$R37="Autocolor",CONCATENATE("autocolor",Бланк!$S37),IF(Бланк!$R37="Білий базовий","RAL9003","")))))))</f>
        <v/>
      </c>
      <c r="D51" s="92" t="str">
        <f>IF(Бланк!$T37="","",Бланк!$T37)</f>
        <v/>
      </c>
      <c r="E51" s="92" t="s">
        <v>276</v>
      </c>
      <c r="F51" s="100" t="str">
        <f>IF(OR(Бланк!$AI37="",Бланк!$AI37=0),"",Бланк!$AI37*$D$10)</f>
        <v/>
      </c>
    </row>
    <row r="52" spans="2:6" hidden="1" x14ac:dyDescent="0.2">
      <c r="B52" s="92">
        <v>18</v>
      </c>
      <c r="C52" s="92" t="str">
        <f>IF(Бланк!$R38="","",IF(Бланк!$R38="RAL",CONCATENATE("RAL",Бланк!$S38),IF(Бланк!$R38="NCS",CONCATENATE("NCS",Бланк!$S38),IF(Бланк!$R38="Mobihel",CONCATENATE("Mobihel",Бланк!$S38),IF(Бланк!$R38="Unicolor",CONCATENATE("Unicolor",Бланк!$S38),IF(Бланк!$R38="Autocolor",CONCATENATE("autocolor",Бланк!$S38),IF(Бланк!$R38="Білий базовий","RAL9003","")))))))</f>
        <v/>
      </c>
      <c r="D52" s="92" t="str">
        <f>IF(Бланк!$T38="","",Бланк!$T38)</f>
        <v/>
      </c>
      <c r="E52" s="92" t="s">
        <v>276</v>
      </c>
      <c r="F52" s="100" t="str">
        <f>IF(OR(Бланк!$AI38="",Бланк!$AI38=0),"",Бланк!$AI38*$D$10)</f>
        <v/>
      </c>
    </row>
    <row r="53" spans="2:6" hidden="1" x14ac:dyDescent="0.2">
      <c r="B53" s="92">
        <v>19</v>
      </c>
      <c r="C53" s="92" t="str">
        <f>IF(Бланк!$R39="","",IF(Бланк!$R39="RAL",CONCATENATE("RAL",Бланк!$S39),IF(Бланк!$R39="NCS",CONCATENATE("NCS",Бланк!$S39),IF(Бланк!$R39="Mobihel",CONCATENATE("Mobihel",Бланк!$S39),IF(Бланк!$R39="Unicolor",CONCATENATE("Unicolor",Бланк!$S39),IF(Бланк!$R39="Autocolor",CONCATENATE("autocolor",Бланк!$S39),IF(Бланк!$R39="Білий базовий","RAL9003","")))))))</f>
        <v/>
      </c>
      <c r="D53" s="92" t="str">
        <f>IF(Бланк!$T39="","",Бланк!$T39)</f>
        <v/>
      </c>
      <c r="E53" s="92" t="s">
        <v>276</v>
      </c>
      <c r="F53" s="100" t="str">
        <f>IF(OR(Бланк!$AI39="",Бланк!$AI39=0),"",Бланк!$AI39*$D$10)</f>
        <v/>
      </c>
    </row>
    <row r="54" spans="2:6" hidden="1" x14ac:dyDescent="0.2">
      <c r="B54" s="92">
        <v>20</v>
      </c>
      <c r="C54" s="92" t="str">
        <f>IF(Бланк!$R40="","",IF(Бланк!$R40="RAL",CONCATENATE("RAL",Бланк!$S40),IF(Бланк!$R40="NCS",CONCATENATE("NCS",Бланк!$S40),IF(Бланк!$R40="Mobihel",CONCATENATE("Mobihel",Бланк!$S40),IF(Бланк!$R40="Unicolor",CONCATENATE("Unicolor",Бланк!$S40),IF(Бланк!$R40="Autocolor",CONCATENATE("autocolor",Бланк!$S40),IF(Бланк!$R40="Білий базовий","RAL9003","")))))))</f>
        <v/>
      </c>
      <c r="D54" s="92" t="str">
        <f>IF(Бланк!$T40="","",Бланк!$T40)</f>
        <v/>
      </c>
      <c r="E54" s="92" t="s">
        <v>276</v>
      </c>
      <c r="F54" s="100" t="str">
        <f>IF(OR(Бланк!$AI40="",Бланк!$AI40=0),"",Бланк!$AI40*$D$10)</f>
        <v/>
      </c>
    </row>
    <row r="55" spans="2:6" hidden="1" x14ac:dyDescent="0.2">
      <c r="B55" s="92">
        <v>21</v>
      </c>
      <c r="C55" s="92" t="str">
        <f>IF(Бланк!$R41="","",IF(Бланк!$R41="RAL",CONCATENATE("RAL",Бланк!$S41),IF(Бланк!$R41="NCS",CONCATENATE("NCS",Бланк!$S41),IF(Бланк!$R41="Mobihel",CONCATENATE("Mobihel",Бланк!$S41),IF(Бланк!$R41="Unicolor",CONCATENATE("Unicolor",Бланк!$S41),IF(Бланк!$R41="Autocolor",CONCATENATE("autocolor",Бланк!$S41),IF(Бланк!$R41="Білий базовий","RAL9003","")))))))</f>
        <v/>
      </c>
      <c r="D55" s="92" t="str">
        <f>IF(Бланк!$T41="","",Бланк!$T41)</f>
        <v/>
      </c>
      <c r="E55" s="92" t="s">
        <v>276</v>
      </c>
      <c r="F55" s="100" t="str">
        <f>IF(OR(Бланк!$AI41="",Бланк!$AI41=0),"",Бланк!$AI41*$D$10)</f>
        <v/>
      </c>
    </row>
    <row r="56" spans="2:6" hidden="1" x14ac:dyDescent="0.2">
      <c r="B56" s="92">
        <v>22</v>
      </c>
      <c r="C56" s="92" t="str">
        <f>IF(Бланк!$R42="","",IF(Бланк!$R42="RAL",CONCATENATE("RAL",Бланк!$S42),IF(Бланк!$R42="NCS",CONCATENATE("NCS",Бланк!$S42),IF(Бланк!$R42="Mobihel",CONCATENATE("Mobihel",Бланк!$S42),IF(Бланк!$R42="Unicolor",CONCATENATE("Unicolor",Бланк!$S42),IF(Бланк!$R42="Autocolor",CONCATENATE("autocolor",Бланк!$S42),IF(Бланк!$R42="Білий базовий","RAL9003","")))))))</f>
        <v/>
      </c>
      <c r="D56" s="92" t="str">
        <f>IF(Бланк!$T42="","",Бланк!$T42)</f>
        <v/>
      </c>
      <c r="E56" s="92" t="s">
        <v>276</v>
      </c>
      <c r="F56" s="100" t="str">
        <f>IF(OR(Бланк!$AI42="",Бланк!$AI42=0),"",Бланк!$AI42*$D$10)</f>
        <v/>
      </c>
    </row>
    <row r="57" spans="2:6" hidden="1" x14ac:dyDescent="0.2">
      <c r="B57" s="92">
        <v>23</v>
      </c>
      <c r="C57" s="92" t="str">
        <f>IF(Бланк!$R43="","",IF(Бланк!$R43="RAL",CONCATENATE("RAL",Бланк!$S43),IF(Бланк!$R43="NCS",CONCATENATE("NCS",Бланк!$S43),IF(Бланк!$R43="Mobihel",CONCATENATE("Mobihel",Бланк!$S43),IF(Бланк!$R43="Unicolor",CONCATENATE("Unicolor",Бланк!$S43),IF(Бланк!$R43="Autocolor",CONCATENATE("autocolor",Бланк!$S43),IF(Бланк!$R43="Білий базовий","RAL9003","")))))))</f>
        <v/>
      </c>
      <c r="D57" s="92" t="str">
        <f>IF(Бланк!$T43="","",Бланк!$T43)</f>
        <v/>
      </c>
      <c r="E57" s="92" t="s">
        <v>276</v>
      </c>
      <c r="F57" s="100" t="str">
        <f>IF(OR(Бланк!$AI43="",Бланк!$AI43=0),"",Бланк!$AI43*$D$10)</f>
        <v/>
      </c>
    </row>
    <row r="58" spans="2:6" hidden="1" x14ac:dyDescent="0.2">
      <c r="B58" s="92">
        <v>24</v>
      </c>
      <c r="C58" s="92" t="str">
        <f>IF(Бланк!$R44="","",IF(Бланк!$R44="RAL",CONCATENATE("RAL",Бланк!$S44),IF(Бланк!$R44="NCS",CONCATENATE("NCS",Бланк!$S44),IF(Бланк!$R44="Mobihel",CONCATENATE("Mobihel",Бланк!$S44),IF(Бланк!$R44="Unicolor",CONCATENATE("Unicolor",Бланк!$S44),IF(Бланк!$R44="Autocolor",CONCATENATE("autocolor",Бланк!$S44),IF(Бланк!$R44="Білий базовий","RAL9003","")))))))</f>
        <v/>
      </c>
      <c r="D58" s="92" t="str">
        <f>IF(Бланк!$T44="","",Бланк!$T44)</f>
        <v/>
      </c>
      <c r="E58" s="92" t="s">
        <v>276</v>
      </c>
      <c r="F58" s="100" t="str">
        <f>IF(OR(Бланк!$AI44="",Бланк!$AI44=0),"",Бланк!$AI44*$D$10)</f>
        <v/>
      </c>
    </row>
    <row r="59" spans="2:6" hidden="1" x14ac:dyDescent="0.2">
      <c r="B59" s="92">
        <v>25</v>
      </c>
      <c r="C59" s="92" t="str">
        <f>IF(Бланк!$R45="","",IF(Бланк!$R45="RAL",CONCATENATE("RAL",Бланк!$S45),IF(Бланк!$R45="NCS",CONCATENATE("NCS",Бланк!$S45),IF(Бланк!$R45="Mobihel",CONCATENATE("Mobihel",Бланк!$S45),IF(Бланк!$R45="Unicolor",CONCATENATE("Unicolor",Бланк!$S45),IF(Бланк!$R45="Autocolor",CONCATENATE("autocolor",Бланк!$S45),IF(Бланк!$R45="Білий базовий","RAL9003","")))))))</f>
        <v/>
      </c>
      <c r="D59" s="92" t="str">
        <f>IF(Бланк!$T45="","",Бланк!$T45)</f>
        <v/>
      </c>
      <c r="E59" s="92" t="s">
        <v>276</v>
      </c>
      <c r="F59" s="100" t="str">
        <f>IF(OR(Бланк!$AI45="",Бланк!$AI45=0),"",Бланк!$AI45*$D$10)</f>
        <v/>
      </c>
    </row>
    <row r="60" spans="2:6" hidden="1" x14ac:dyDescent="0.2">
      <c r="B60" s="92">
        <v>26</v>
      </c>
      <c r="C60" s="92" t="str">
        <f>IF(Бланк!$R46="","",IF(Бланк!$R46="RAL",CONCATENATE("RAL",Бланк!$S46),IF(Бланк!$R46="NCS",CONCATENATE("NCS",Бланк!$S46),IF(Бланк!$R46="Mobihel",CONCATENATE("Mobihel",Бланк!$S46),IF(Бланк!$R46="Unicolor",CONCATENATE("Unicolor",Бланк!$S46),IF(Бланк!$R46="Autocolor",CONCATENATE("autocolor",Бланк!$S46),IF(Бланк!$R46="Білий базовий","RAL9003","")))))))</f>
        <v/>
      </c>
      <c r="D60" s="92" t="str">
        <f>IF(Бланк!$T46="","",Бланк!$T46)</f>
        <v/>
      </c>
      <c r="E60" s="92" t="s">
        <v>276</v>
      </c>
      <c r="F60" s="100" t="str">
        <f>IF(OR(Бланк!$AI46="",Бланк!$AI46=0),"",Бланк!$AI46*$D$10)</f>
        <v/>
      </c>
    </row>
    <row r="61" spans="2:6" hidden="1" x14ac:dyDescent="0.2">
      <c r="B61" s="92">
        <v>27</v>
      </c>
      <c r="C61" s="92" t="str">
        <f>IF(Бланк!$R47="","",IF(Бланк!$R47="RAL",CONCATENATE("RAL",Бланк!$S47),IF(Бланк!$R47="NCS",CONCATENATE("NCS",Бланк!$S47),IF(Бланк!$R47="Mobihel",CONCATENATE("Mobihel",Бланк!$S47),IF(Бланк!$R47="Unicolor",CONCATENATE("Unicolor",Бланк!$S47),IF(Бланк!$R47="Autocolor",CONCATENATE("autocolor",Бланк!$S47),IF(Бланк!$R47="Білий базовий","RAL9003","")))))))</f>
        <v/>
      </c>
      <c r="D61" s="92" t="str">
        <f>IF(Бланк!$T47="","",Бланк!$T47)</f>
        <v/>
      </c>
      <c r="E61" s="92" t="s">
        <v>276</v>
      </c>
      <c r="F61" s="100" t="str">
        <f>IF(OR(Бланк!$AI47="",Бланк!$AI47=0),"",Бланк!$AI47*$D$10)</f>
        <v/>
      </c>
    </row>
    <row r="62" spans="2:6" hidden="1" x14ac:dyDescent="0.2">
      <c r="B62" s="92">
        <v>28</v>
      </c>
      <c r="C62" s="92" t="str">
        <f>IF(Бланк!$R48="","",IF(Бланк!$R48="RAL",CONCATENATE("RAL",Бланк!$S48),IF(Бланк!$R48="NCS",CONCATENATE("NCS",Бланк!$S48),IF(Бланк!$R48="Mobihel",CONCATENATE("Mobihel",Бланк!$S48),IF(Бланк!$R48="Unicolor",CONCATENATE("Unicolor",Бланк!$S48),IF(Бланк!$R48="Autocolor",CONCATENATE("autocolor",Бланк!$S48),IF(Бланк!$R48="Білий базовий","RAL9003","")))))))</f>
        <v/>
      </c>
      <c r="D62" s="92" t="str">
        <f>IF(Бланк!$T48="","",Бланк!$T48)</f>
        <v/>
      </c>
      <c r="E62" s="92" t="s">
        <v>276</v>
      </c>
      <c r="F62" s="100" t="str">
        <f>IF(OR(Бланк!$AI48="",Бланк!$AI48=0),"",Бланк!$AI48*$D$10)</f>
        <v/>
      </c>
    </row>
    <row r="63" spans="2:6" hidden="1" x14ac:dyDescent="0.2">
      <c r="B63" s="92">
        <v>29</v>
      </c>
      <c r="C63" s="92" t="str">
        <f>IF(Бланк!$R49="","",IF(Бланк!$R49="RAL",CONCATENATE("RAL",Бланк!$S49),IF(Бланк!$R49="NCS",CONCATENATE("NCS",Бланк!$S49),IF(Бланк!$R49="Mobihel",CONCATENATE("Mobihel",Бланк!$S49),IF(Бланк!$R49="Unicolor",CONCATENATE("Unicolor",Бланк!$S49),IF(Бланк!$R49="Autocolor",CONCATENATE("autocolor",Бланк!$S49),IF(Бланк!$R49="Білий базовий","RAL9003","")))))))</f>
        <v/>
      </c>
      <c r="D63" s="92" t="str">
        <f>IF(Бланк!$T49="","",Бланк!$T49)</f>
        <v/>
      </c>
      <c r="E63" s="92" t="s">
        <v>276</v>
      </c>
      <c r="F63" s="100" t="str">
        <f>IF(OR(Бланк!$AI49="",Бланк!$AI49=0),"",Бланк!$AI49*$D$10)</f>
        <v/>
      </c>
    </row>
    <row r="64" spans="2:6" hidden="1" x14ac:dyDescent="0.2">
      <c r="B64" s="92">
        <v>30</v>
      </c>
      <c r="C64" s="92" t="str">
        <f>IF(Бланк!$R50="","",IF(Бланк!$R50="RAL",CONCATENATE("RAL",Бланк!$S50),IF(Бланк!$R50="NCS",CONCATENATE("NCS",Бланк!$S50),IF(Бланк!$R50="Mobihel",CONCATENATE("Mobihel",Бланк!$S50),IF(Бланк!$R50="Unicolor",CONCATENATE("Unicolor",Бланк!$S50),IF(Бланк!$R50="Autocolor",CONCATENATE("autocolor",Бланк!$S50),IF(Бланк!$R50="Білий базовий","RAL9003","")))))))</f>
        <v/>
      </c>
      <c r="D64" s="92" t="str">
        <f>IF(Бланк!$T50="","",Бланк!$T50)</f>
        <v/>
      </c>
      <c r="E64" s="92" t="s">
        <v>276</v>
      </c>
      <c r="F64" s="100" t="str">
        <f>IF(OR(Бланк!$AI50="",Бланк!$AI50=0),"",Бланк!$AI50*$D$10)</f>
        <v/>
      </c>
    </row>
    <row r="65" spans="2:6" hidden="1" x14ac:dyDescent="0.2">
      <c r="B65" s="92">
        <v>31</v>
      </c>
      <c r="C65" s="92" t="str">
        <f>IF(Бланк!$R51="","",IF(Бланк!$R51="RAL",CONCATENATE("RAL",Бланк!$S51),IF(Бланк!$R51="NCS",CONCATENATE("NCS",Бланк!$S51),IF(Бланк!$R51="Mobihel",CONCATENATE("Mobihel",Бланк!$S51),IF(Бланк!$R51="Unicolor",CONCATENATE("Unicolor",Бланк!$S51),IF(Бланк!$R51="Autocolor",CONCATENATE("autocolor",Бланк!$S51),IF(Бланк!$R51="Білий базовий","RAL9003","")))))))</f>
        <v/>
      </c>
      <c r="D65" s="92" t="str">
        <f>IF(Бланк!$T51="","",Бланк!$T51)</f>
        <v/>
      </c>
      <c r="E65" s="92" t="s">
        <v>276</v>
      </c>
      <c r="F65" s="100" t="str">
        <f>IF(OR(Бланк!$AI51="",Бланк!$AI51=0),"",Бланк!$AI51*$D$10)</f>
        <v/>
      </c>
    </row>
    <row r="66" spans="2:6" hidden="1" x14ac:dyDescent="0.2">
      <c r="B66" s="92">
        <v>32</v>
      </c>
      <c r="C66" s="92" t="str">
        <f>IF(Бланк!$R52="","",IF(Бланк!$R52="RAL",CONCATENATE("RAL",Бланк!$S52),IF(Бланк!$R52="NCS",CONCATENATE("NCS",Бланк!$S52),IF(Бланк!$R52="Mobihel",CONCATENATE("Mobihel",Бланк!$S52),IF(Бланк!$R52="Unicolor",CONCATENATE("Unicolor",Бланк!$S52),IF(Бланк!$R52="Autocolor",CONCATENATE("autocolor",Бланк!$S52),IF(Бланк!$R52="Білий базовий","RAL9003","")))))))</f>
        <v/>
      </c>
      <c r="D66" s="92" t="str">
        <f>IF(Бланк!$T52="","",Бланк!$T52)</f>
        <v/>
      </c>
      <c r="E66" s="92" t="s">
        <v>276</v>
      </c>
      <c r="F66" s="100" t="str">
        <f>IF(OR(Бланк!$AI52="",Бланк!$AI52=0),"",Бланк!$AI52*$D$10)</f>
        <v/>
      </c>
    </row>
    <row r="67" spans="2:6" hidden="1" x14ac:dyDescent="0.2">
      <c r="B67" s="92">
        <v>33</v>
      </c>
      <c r="C67" s="92" t="str">
        <f>IF(Бланк!$R53="","",IF(Бланк!$R53="RAL",CONCATENATE("RAL",Бланк!$S53),IF(Бланк!$R53="NCS",CONCATENATE("NCS",Бланк!$S53),IF(Бланк!$R53="Mobihel",CONCATENATE("Mobihel",Бланк!$S53),IF(Бланк!$R53="Unicolor",CONCATENATE("Unicolor",Бланк!$S53),IF(Бланк!$R53="Autocolor",CONCATENATE("autocolor",Бланк!$S53),IF(Бланк!$R53="Білий базовий","RAL9003","")))))))</f>
        <v/>
      </c>
      <c r="D67" s="92" t="str">
        <f>IF(Бланк!$T53="","",Бланк!$T53)</f>
        <v/>
      </c>
      <c r="E67" s="92" t="s">
        <v>276</v>
      </c>
      <c r="F67" s="100" t="str">
        <f>IF(OR(Бланк!$AI53="",Бланк!$AI53=0),"",Бланк!$AI53*$D$10)</f>
        <v/>
      </c>
    </row>
    <row r="68" spans="2:6" hidden="1" x14ac:dyDescent="0.2">
      <c r="B68" s="92">
        <v>34</v>
      </c>
      <c r="C68" s="92" t="str">
        <f>IF(Бланк!$R54="","",IF(Бланк!$R54="RAL",CONCATENATE("RAL",Бланк!$S54),IF(Бланк!$R54="NCS",CONCATENATE("NCS",Бланк!$S54),IF(Бланк!$R54="Mobihel",CONCATENATE("Mobihel",Бланк!$S54),IF(Бланк!$R54="Unicolor",CONCATENATE("Unicolor",Бланк!$S54),IF(Бланк!$R54="Autocolor",CONCATENATE("autocolor",Бланк!$S54),IF(Бланк!$R54="Білий базовий","RAL9003","")))))))</f>
        <v/>
      </c>
      <c r="D68" s="92" t="str">
        <f>IF(Бланк!$T54="","",Бланк!$T54)</f>
        <v/>
      </c>
      <c r="E68" s="92" t="s">
        <v>276</v>
      </c>
      <c r="F68" s="100" t="str">
        <f>IF(OR(Бланк!$AI54="",Бланк!$AI54=0),"",Бланк!$AI54*$D$10)</f>
        <v/>
      </c>
    </row>
    <row r="69" spans="2:6" hidden="1" x14ac:dyDescent="0.2">
      <c r="B69" s="92">
        <v>35</v>
      </c>
      <c r="C69" s="92" t="str">
        <f>IF(Бланк!$R55="","",IF(Бланк!$R55="RAL",CONCATENATE("RAL",Бланк!$S55),IF(Бланк!$R55="NCS",CONCATENATE("NCS",Бланк!$S55),IF(Бланк!$R55="Mobihel",CONCATENATE("Mobihel",Бланк!$S55),IF(Бланк!$R55="Unicolor",CONCATENATE("Unicolor",Бланк!$S55),IF(Бланк!$R55="Autocolor",CONCATENATE("autocolor",Бланк!$S55),IF(Бланк!$R55="Білий базовий","RAL9003","")))))))</f>
        <v/>
      </c>
      <c r="D69" s="92" t="str">
        <f>IF(Бланк!$T55="","",Бланк!$T55)</f>
        <v/>
      </c>
      <c r="E69" s="92" t="s">
        <v>276</v>
      </c>
      <c r="F69" s="100" t="str">
        <f>IF(OR(Бланк!$AI55="",Бланк!$AI55=0),"",Бланк!$AI55*$D$10)</f>
        <v/>
      </c>
    </row>
    <row r="70" spans="2:6" hidden="1" x14ac:dyDescent="0.2">
      <c r="B70" s="92">
        <v>36</v>
      </c>
      <c r="C70" s="92" t="str">
        <f>IF(Бланк!$R56="","",IF(Бланк!$R56="RAL",CONCATENATE("RAL",Бланк!$S56),IF(Бланк!$R56="NCS",CONCATENATE("NCS",Бланк!$S56),IF(Бланк!$R56="Mobihel",CONCATENATE("Mobihel",Бланк!$S56),IF(Бланк!$R56="Unicolor",CONCATENATE("Unicolor",Бланк!$S56),IF(Бланк!$R56="Autocolor",CONCATENATE("autocolor",Бланк!$S56),IF(Бланк!$R56="Білий базовий","RAL9003","")))))))</f>
        <v/>
      </c>
      <c r="D70" s="92" t="str">
        <f>IF(Бланк!$T56="","",Бланк!$T56)</f>
        <v/>
      </c>
      <c r="E70" s="92" t="s">
        <v>276</v>
      </c>
      <c r="F70" s="100" t="str">
        <f>IF(OR(Бланк!$AI56="",Бланк!$AI56=0),"",Бланк!$AI56*$D$10)</f>
        <v/>
      </c>
    </row>
    <row r="71" spans="2:6" hidden="1" x14ac:dyDescent="0.2">
      <c r="B71" s="92">
        <v>37</v>
      </c>
      <c r="C71" s="92" t="str">
        <f>IF(Бланк!$R57="","",IF(Бланк!$R57="RAL",CONCATENATE("RAL",Бланк!$S57),IF(Бланк!$R57="NCS",CONCATENATE("NCS",Бланк!$S57),IF(Бланк!$R57="Mobihel",CONCATENATE("Mobihel",Бланк!$S57),IF(Бланк!$R57="Unicolor",CONCATENATE("Unicolor",Бланк!$S57),IF(Бланк!$R57="Autocolor",CONCATENATE("autocolor",Бланк!$S57),IF(Бланк!$R57="Білий базовий","RAL9003","")))))))</f>
        <v/>
      </c>
      <c r="D71" s="92" t="str">
        <f>IF(Бланк!$T57="","",Бланк!$T57)</f>
        <v/>
      </c>
      <c r="E71" s="92" t="s">
        <v>276</v>
      </c>
      <c r="F71" s="100" t="str">
        <f>IF(OR(Бланк!$AI57="",Бланк!$AI57=0),"",Бланк!$AI57*$D$10)</f>
        <v/>
      </c>
    </row>
    <row r="72" spans="2:6" hidden="1" x14ac:dyDescent="0.2">
      <c r="B72" s="92">
        <v>38</v>
      </c>
      <c r="C72" s="92" t="str">
        <f>IF(Бланк!$R58="","",IF(Бланк!$R58="RAL",CONCATENATE("RAL",Бланк!$S58),IF(Бланк!$R58="NCS",CONCATENATE("NCS",Бланк!$S58),IF(Бланк!$R58="Mobihel",CONCATENATE("Mobihel",Бланк!$S58),IF(Бланк!$R58="Unicolor",CONCATENATE("Unicolor",Бланк!$S58),IF(Бланк!$R58="Autocolor",CONCATENATE("autocolor",Бланк!$S58),IF(Бланк!$R58="Білий базовий","RAL9003","")))))))</f>
        <v/>
      </c>
      <c r="D72" s="92" t="str">
        <f>IF(Бланк!$T58="","",Бланк!$T58)</f>
        <v/>
      </c>
      <c r="E72" s="92" t="s">
        <v>276</v>
      </c>
      <c r="F72" s="100" t="str">
        <f>IF(OR(Бланк!$AI58="",Бланк!$AI58=0),"",Бланк!$AI58*$D$10)</f>
        <v/>
      </c>
    </row>
    <row r="73" spans="2:6" hidden="1" x14ac:dyDescent="0.2">
      <c r="B73" s="92">
        <v>39</v>
      </c>
      <c r="C73" s="92" t="str">
        <f>IF(Бланк!$R59="","",IF(Бланк!$R59="RAL",CONCATENATE("RAL",Бланк!$S59),IF(Бланк!$R59="NCS",CONCATENATE("NCS",Бланк!$S59),IF(Бланк!$R59="Mobihel",CONCATENATE("Mobihel",Бланк!$S59),IF(Бланк!$R59="Unicolor",CONCATENATE("Unicolor",Бланк!$S59),IF(Бланк!$R59="Autocolor",CONCATENATE("autocolor",Бланк!$S59),IF(Бланк!$R59="Білий базовий","RAL9003","")))))))</f>
        <v/>
      </c>
      <c r="D73" s="92" t="str">
        <f>IF(Бланк!$T59="","",Бланк!$T59)</f>
        <v/>
      </c>
      <c r="E73" s="92" t="s">
        <v>276</v>
      </c>
      <c r="F73" s="100" t="str">
        <f>IF(OR(Бланк!$AI59="",Бланк!$AI59=0),"",Бланк!$AI59*$D$10)</f>
        <v/>
      </c>
    </row>
    <row r="74" spans="2:6" hidden="1" x14ac:dyDescent="0.2">
      <c r="B74" s="92">
        <v>40</v>
      </c>
      <c r="C74" s="92" t="str">
        <f>IF(Бланк!$R60="","",IF(Бланк!$R60="RAL",CONCATENATE("RAL",Бланк!$S60),IF(Бланк!$R60="NCS",CONCATENATE("NCS",Бланк!$S60),IF(Бланк!$R60="Mobihel",CONCATENATE("Mobihel",Бланк!$S60),IF(Бланк!$R60="Unicolor",CONCATENATE("Unicolor",Бланк!$S60),IF(Бланк!$R60="Autocolor",CONCATENATE("autocolor",Бланк!$S60),IF(Бланк!$R60="Білий базовий","RAL9003","")))))))</f>
        <v/>
      </c>
      <c r="D74" s="92" t="str">
        <f>IF(Бланк!$T60="","",Бланк!$T60)</f>
        <v/>
      </c>
      <c r="E74" s="92" t="s">
        <v>276</v>
      </c>
      <c r="F74" s="100" t="str">
        <f>IF(OR(Бланк!$AI60="",Бланк!$AI60=0),"",Бланк!$AI60*$D$10)</f>
        <v/>
      </c>
    </row>
    <row r="75" spans="2:6" hidden="1" x14ac:dyDescent="0.2">
      <c r="B75" s="92">
        <v>41</v>
      </c>
      <c r="C75" s="92" t="str">
        <f>IF(Бланк!$R61="","",IF(Бланк!$R61="RAL",CONCATENATE("RAL",Бланк!$S61),IF(Бланк!$R61="NCS",CONCATENATE("NCS",Бланк!$S61),IF(Бланк!$R61="Mobihel",CONCATENATE("Mobihel",Бланк!$S61),IF(Бланк!$R61="Unicolor",CONCATENATE("Unicolor",Бланк!$S61),IF(Бланк!$R61="Autocolor",CONCATENATE("autocolor",Бланк!$S61),IF(Бланк!$R61="Білий базовий","RAL9003","")))))))</f>
        <v/>
      </c>
      <c r="D75" s="92" t="str">
        <f>IF(Бланк!$T61="","",Бланк!$T61)</f>
        <v/>
      </c>
      <c r="E75" s="92" t="s">
        <v>276</v>
      </c>
      <c r="F75" s="100" t="str">
        <f>IF(OR(Бланк!$AI61="",Бланк!$AI61=0),"",Бланк!$AI61*$D$10)</f>
        <v/>
      </c>
    </row>
    <row r="76" spans="2:6" hidden="1" x14ac:dyDescent="0.2">
      <c r="B76" s="92">
        <v>42</v>
      </c>
      <c r="C76" s="92" t="str">
        <f>IF(Бланк!$R62="","",IF(Бланк!$R62="RAL",CONCATENATE("RAL",Бланк!$S62),IF(Бланк!$R62="NCS",CONCATENATE("NCS",Бланк!$S62),IF(Бланк!$R62="Mobihel",CONCATENATE("Mobihel",Бланк!$S62),IF(Бланк!$R62="Unicolor",CONCATENATE("Unicolor",Бланк!$S62),IF(Бланк!$R62="Autocolor",CONCATENATE("autocolor",Бланк!$S62),IF(Бланк!$R62="Білий базовий","RAL9003","")))))))</f>
        <v/>
      </c>
      <c r="D76" s="92" t="str">
        <f>IF(Бланк!$T62="","",Бланк!$T62)</f>
        <v/>
      </c>
      <c r="E76" s="92" t="s">
        <v>276</v>
      </c>
      <c r="F76" s="100" t="str">
        <f>IF(OR(Бланк!$AI62="",Бланк!$AI62=0),"",Бланк!$AI62*$D$10)</f>
        <v/>
      </c>
    </row>
    <row r="77" spans="2:6" hidden="1" x14ac:dyDescent="0.2">
      <c r="B77" s="92">
        <v>43</v>
      </c>
      <c r="C77" s="92" t="str">
        <f>IF(Бланк!$R63="","",IF(Бланк!$R63="RAL",CONCATENATE("RAL",Бланк!$S63),IF(Бланк!$R63="NCS",CONCATENATE("NCS",Бланк!$S63),IF(Бланк!$R63="Mobihel",CONCATENATE("Mobihel",Бланк!$S63),IF(Бланк!$R63="Unicolor",CONCATENATE("Unicolor",Бланк!$S63),IF(Бланк!$R63="Autocolor",CONCATENATE("autocolor",Бланк!$S63),IF(Бланк!$R63="Білий базовий","RAL9003","")))))))</f>
        <v/>
      </c>
      <c r="D77" s="92" t="str">
        <f>IF(Бланк!$T63="","",Бланк!$T63)</f>
        <v/>
      </c>
      <c r="E77" s="92" t="s">
        <v>276</v>
      </c>
      <c r="F77" s="100" t="str">
        <f>IF(OR(Бланк!$AI63="",Бланк!$AI63=0),"",Бланк!$AI63*$D$10)</f>
        <v/>
      </c>
    </row>
    <row r="78" spans="2:6" hidden="1" x14ac:dyDescent="0.2">
      <c r="B78" s="92">
        <v>44</v>
      </c>
      <c r="C78" s="92" t="str">
        <f>IF(Бланк!$R64="","",IF(Бланк!$R64="RAL",CONCATENATE("RAL",Бланк!$S64),IF(Бланк!$R64="NCS",CONCATENATE("NCS",Бланк!$S64),IF(Бланк!$R64="Mobihel",CONCATENATE("Mobihel",Бланк!$S64),IF(Бланк!$R64="Unicolor",CONCATENATE("Unicolor",Бланк!$S64),IF(Бланк!$R64="Autocolor",CONCATENATE("autocolor",Бланк!$S64),IF(Бланк!$R64="Білий базовий","RAL9003","")))))))</f>
        <v/>
      </c>
      <c r="D78" s="92" t="str">
        <f>IF(Бланк!$T64="","",Бланк!$T64)</f>
        <v/>
      </c>
      <c r="E78" s="92" t="s">
        <v>276</v>
      </c>
      <c r="F78" s="100" t="str">
        <f>IF(OR(Бланк!$AI64="",Бланк!$AI64=0),"",Бланк!$AI64*$D$10)</f>
        <v/>
      </c>
    </row>
    <row r="79" spans="2:6" hidden="1" x14ac:dyDescent="0.2">
      <c r="B79" s="92">
        <v>45</v>
      </c>
      <c r="C79" s="92" t="str">
        <f>IF(Бланк!$R65="","",IF(Бланк!$R65="RAL",CONCATENATE("RAL",Бланк!$S65),IF(Бланк!$R65="NCS",CONCATENATE("NCS",Бланк!$S65),IF(Бланк!$R65="Mobihel",CONCATENATE("Mobihel",Бланк!$S65),IF(Бланк!$R65="Unicolor",CONCATENATE("Unicolor",Бланк!$S65),IF(Бланк!$R65="Autocolor",CONCATENATE("autocolor",Бланк!$S65),IF(Бланк!$R65="Білий базовий","RAL9003","")))))))</f>
        <v/>
      </c>
      <c r="D79" s="92" t="str">
        <f>IF(Бланк!$T65="","",Бланк!$T65)</f>
        <v/>
      </c>
      <c r="E79" s="92" t="s">
        <v>276</v>
      </c>
      <c r="F79" s="100" t="str">
        <f>IF(OR(Бланк!$AI65="",Бланк!$AI65=0),"",Бланк!$AI65*$D$10)</f>
        <v/>
      </c>
    </row>
    <row r="80" spans="2:6" hidden="1" x14ac:dyDescent="0.2">
      <c r="F80" s="101">
        <f>SUM(F35:F79)</f>
        <v>0</v>
      </c>
    </row>
  </sheetData>
  <sheetProtection algorithmName="SHA-512" hashValue="wVwjvd8R3EB0wpiF7gcOmHBFSahYsXNvbeAB0p31m6KhgFM1hAZ9cF2vKnb4D8+/wdjmy34zhl/iKYTJrV2iFQ==" saltValue="lS/7ejV1Mq4gtA0NW1wpfw==" spinCount="100000" sheet="1" objects="1" scenarios="1"/>
  <mergeCells count="2">
    <mergeCell ref="B5:C5"/>
    <mergeCell ref="E5:F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7"/>
  <dimension ref="C4:S78"/>
  <sheetViews>
    <sheetView workbookViewId="0">
      <selection activeCell="I65" sqref="I65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10" max="10" width="4.28515625" bestFit="1" customWidth="1"/>
    <col min="11" max="11" width="18.140625" bestFit="1" customWidth="1"/>
    <col min="12" max="12" width="26.5703125" bestFit="1" customWidth="1"/>
    <col min="13" max="13" width="40.28515625" bestFit="1" customWidth="1"/>
    <col min="14" max="14" width="9" customWidth="1"/>
    <col min="15" max="15" width="6" bestFit="1" customWidth="1"/>
    <col min="18" max="18" width="13.42578125" bestFit="1" customWidth="1"/>
    <col min="19" max="19" width="10.7109375" bestFit="1" customWidth="1"/>
  </cols>
  <sheetData>
    <row r="4" spans="3:19" ht="18.75" customHeight="1" x14ac:dyDescent="0.2">
      <c r="C4" t="s">
        <v>53</v>
      </c>
      <c r="D4" t="s">
        <v>54</v>
      </c>
      <c r="E4" t="s">
        <v>203</v>
      </c>
      <c r="F4" t="s">
        <v>207</v>
      </c>
      <c r="G4" t="s">
        <v>82</v>
      </c>
      <c r="H4" t="s">
        <v>104</v>
      </c>
      <c r="I4" t="s">
        <v>103</v>
      </c>
      <c r="J4" s="67" t="s">
        <v>109</v>
      </c>
      <c r="K4" t="s">
        <v>83</v>
      </c>
      <c r="L4" t="s">
        <v>321</v>
      </c>
      <c r="M4" s="22" t="s">
        <v>41</v>
      </c>
      <c r="N4" s="22">
        <v>0</v>
      </c>
      <c r="O4" s="22" t="s">
        <v>42</v>
      </c>
      <c r="R4" t="s">
        <v>110</v>
      </c>
      <c r="S4" t="s">
        <v>111</v>
      </c>
    </row>
    <row r="5" spans="3:19" ht="18.75" customHeight="1" x14ac:dyDescent="0.2">
      <c r="C5" s="67">
        <v>16</v>
      </c>
      <c r="D5" t="s">
        <v>55</v>
      </c>
      <c r="E5" t="s">
        <v>199</v>
      </c>
      <c r="F5" t="s">
        <v>206</v>
      </c>
      <c r="G5" t="s">
        <v>59</v>
      </c>
      <c r="H5" t="s">
        <v>88</v>
      </c>
      <c r="I5" t="s">
        <v>106</v>
      </c>
      <c r="J5" s="67">
        <v>200</v>
      </c>
      <c r="K5" s="22" t="s">
        <v>187</v>
      </c>
      <c r="L5" s="22" t="s">
        <v>190</v>
      </c>
      <c r="M5" s="22" t="s">
        <v>17</v>
      </c>
      <c r="N5" s="22">
        <v>1350</v>
      </c>
      <c r="O5" s="22" t="s">
        <v>43</v>
      </c>
      <c r="Q5" s="22" t="s">
        <v>212</v>
      </c>
    </row>
    <row r="6" spans="3:19" x14ac:dyDescent="0.2">
      <c r="C6" s="67">
        <v>19</v>
      </c>
      <c r="D6" t="s">
        <v>56</v>
      </c>
      <c r="E6" t="s">
        <v>200</v>
      </c>
      <c r="F6" t="s">
        <v>208</v>
      </c>
      <c r="G6" t="s">
        <v>60</v>
      </c>
      <c r="H6" t="s">
        <v>89</v>
      </c>
      <c r="I6" t="s">
        <v>106</v>
      </c>
      <c r="J6" s="67">
        <v>200</v>
      </c>
      <c r="K6" s="22" t="s">
        <v>194</v>
      </c>
      <c r="L6" s="22" t="s">
        <v>191</v>
      </c>
      <c r="M6" s="22" t="s">
        <v>18</v>
      </c>
      <c r="N6" s="22">
        <v>1430</v>
      </c>
      <c r="O6" s="22" t="s">
        <v>44</v>
      </c>
      <c r="Q6" s="22" t="s">
        <v>211</v>
      </c>
    </row>
    <row r="7" spans="3:19" x14ac:dyDescent="0.2">
      <c r="C7" t="s">
        <v>198</v>
      </c>
      <c r="D7" t="s">
        <v>57</v>
      </c>
      <c r="E7" t="s">
        <v>201</v>
      </c>
      <c r="F7" t="s">
        <v>209</v>
      </c>
      <c r="G7" t="s">
        <v>61</v>
      </c>
      <c r="H7" t="s">
        <v>90</v>
      </c>
      <c r="I7" t="s">
        <v>107</v>
      </c>
      <c r="J7" s="67">
        <v>200</v>
      </c>
      <c r="K7" s="22" t="s">
        <v>49</v>
      </c>
      <c r="L7" s="22" t="s">
        <v>48</v>
      </c>
      <c r="M7" s="22" t="s">
        <v>19</v>
      </c>
      <c r="N7" s="22">
        <v>1570</v>
      </c>
      <c r="O7" s="22" t="s">
        <v>45</v>
      </c>
    </row>
    <row r="8" spans="3:19" x14ac:dyDescent="0.2">
      <c r="C8" s="67"/>
      <c r="D8" t="s">
        <v>58</v>
      </c>
      <c r="E8" t="s">
        <v>202</v>
      </c>
      <c r="F8" t="s">
        <v>210</v>
      </c>
      <c r="G8" t="s">
        <v>63</v>
      </c>
      <c r="H8" t="s">
        <v>91</v>
      </c>
      <c r="I8" t="s">
        <v>107</v>
      </c>
      <c r="J8" s="67">
        <v>200</v>
      </c>
      <c r="K8" s="22" t="s">
        <v>188</v>
      </c>
      <c r="L8" s="22" t="s">
        <v>286</v>
      </c>
      <c r="M8" s="22" t="s">
        <v>20</v>
      </c>
      <c r="N8" s="22">
        <v>1650</v>
      </c>
      <c r="O8" s="22" t="s">
        <v>46</v>
      </c>
    </row>
    <row r="9" spans="3:19" x14ac:dyDescent="0.2">
      <c r="G9" t="s">
        <v>62</v>
      </c>
      <c r="H9" t="s">
        <v>92</v>
      </c>
      <c r="I9" t="s">
        <v>107</v>
      </c>
      <c r="J9" s="67">
        <v>200</v>
      </c>
      <c r="K9" s="22" t="s">
        <v>195</v>
      </c>
      <c r="L9" s="22" t="s">
        <v>287</v>
      </c>
      <c r="M9" s="22" t="s">
        <v>23</v>
      </c>
      <c r="N9" s="22">
        <v>1410</v>
      </c>
      <c r="O9" s="22" t="s">
        <v>47</v>
      </c>
    </row>
    <row r="10" spans="3:19" ht="15" customHeight="1" x14ac:dyDescent="0.2">
      <c r="G10" t="s">
        <v>185</v>
      </c>
      <c r="H10" t="s">
        <v>93</v>
      </c>
      <c r="I10" t="s">
        <v>107</v>
      </c>
      <c r="J10" s="67">
        <v>200</v>
      </c>
      <c r="K10" s="22" t="s">
        <v>196</v>
      </c>
      <c r="L10" s="22" t="s">
        <v>328</v>
      </c>
      <c r="M10" s="22" t="s">
        <v>24</v>
      </c>
      <c r="N10" s="22">
        <v>1490</v>
      </c>
      <c r="O10" t="s">
        <v>50</v>
      </c>
    </row>
    <row r="11" spans="3:19" ht="15" customHeight="1" x14ac:dyDescent="0.2">
      <c r="H11" t="s">
        <v>94</v>
      </c>
      <c r="I11" t="s">
        <v>107</v>
      </c>
      <c r="J11" s="67">
        <v>200</v>
      </c>
      <c r="K11" s="22" t="s">
        <v>192</v>
      </c>
      <c r="L11" s="22" t="s">
        <v>322</v>
      </c>
      <c r="M11" t="s">
        <v>25</v>
      </c>
      <c r="N11">
        <v>1980</v>
      </c>
    </row>
    <row r="12" spans="3:19" ht="15" customHeight="1" x14ac:dyDescent="0.2">
      <c r="H12" t="s">
        <v>95</v>
      </c>
      <c r="I12" t="s">
        <v>106</v>
      </c>
      <c r="J12" s="67">
        <v>200</v>
      </c>
      <c r="K12" s="22" t="s">
        <v>193</v>
      </c>
      <c r="L12" s="22" t="s">
        <v>340</v>
      </c>
      <c r="M12" t="s">
        <v>26</v>
      </c>
      <c r="N12">
        <v>2060</v>
      </c>
    </row>
    <row r="13" spans="3:19" ht="15" customHeight="1" x14ac:dyDescent="0.2">
      <c r="H13" t="s">
        <v>96</v>
      </c>
      <c r="I13" t="s">
        <v>108</v>
      </c>
      <c r="J13" s="67">
        <v>200</v>
      </c>
      <c r="K13" s="22" t="s">
        <v>189</v>
      </c>
      <c r="L13" s="22" t="s">
        <v>339</v>
      </c>
      <c r="M13" t="s">
        <v>27</v>
      </c>
      <c r="N13">
        <v>1980</v>
      </c>
    </row>
    <row r="14" spans="3:19" ht="15" customHeight="1" x14ac:dyDescent="0.2">
      <c r="H14" t="s">
        <v>97</v>
      </c>
      <c r="I14" t="s">
        <v>108</v>
      </c>
      <c r="J14" s="67">
        <v>200</v>
      </c>
      <c r="K14" s="22" t="s">
        <v>197</v>
      </c>
      <c r="L14" s="22" t="s">
        <v>338</v>
      </c>
      <c r="M14" t="s">
        <v>28</v>
      </c>
      <c r="N14">
        <v>2060</v>
      </c>
    </row>
    <row r="15" spans="3:19" ht="15" customHeight="1" x14ac:dyDescent="0.2">
      <c r="H15" t="s">
        <v>98</v>
      </c>
      <c r="I15" t="s">
        <v>108</v>
      </c>
      <c r="J15" s="67">
        <v>200</v>
      </c>
      <c r="L15" s="22" t="s">
        <v>337</v>
      </c>
      <c r="M15" t="s">
        <v>41</v>
      </c>
      <c r="N15">
        <v>0</v>
      </c>
    </row>
    <row r="16" spans="3:19" ht="15" customHeight="1" x14ac:dyDescent="0.2">
      <c r="H16" t="s">
        <v>99</v>
      </c>
      <c r="I16" t="s">
        <v>106</v>
      </c>
      <c r="J16" s="67">
        <v>200</v>
      </c>
      <c r="L16" s="22" t="s">
        <v>186</v>
      </c>
      <c r="M16" t="s">
        <v>36</v>
      </c>
      <c r="N16">
        <v>3680</v>
      </c>
    </row>
    <row r="17" spans="3:14" x14ac:dyDescent="0.2">
      <c r="H17" t="s">
        <v>100</v>
      </c>
      <c r="I17" t="s">
        <v>108</v>
      </c>
      <c r="J17" s="67">
        <v>200</v>
      </c>
      <c r="L17" s="22" t="s">
        <v>83</v>
      </c>
      <c r="M17" t="s">
        <v>35</v>
      </c>
      <c r="N17">
        <v>3810</v>
      </c>
    </row>
    <row r="18" spans="3:14" x14ac:dyDescent="0.2">
      <c r="H18" t="s">
        <v>101</v>
      </c>
      <c r="I18" t="s">
        <v>108</v>
      </c>
      <c r="J18" s="67">
        <v>200</v>
      </c>
      <c r="L18" s="22"/>
      <c r="M18" t="s">
        <v>34</v>
      </c>
      <c r="N18">
        <v>3900</v>
      </c>
    </row>
    <row r="19" spans="3:14" x14ac:dyDescent="0.2">
      <c r="H19" t="s">
        <v>102</v>
      </c>
      <c r="I19" t="s">
        <v>108</v>
      </c>
      <c r="J19" s="67">
        <v>200</v>
      </c>
      <c r="M19" t="s">
        <v>33</v>
      </c>
      <c r="N19">
        <v>4030</v>
      </c>
    </row>
    <row r="20" spans="3:14" x14ac:dyDescent="0.2">
      <c r="H20" t="s">
        <v>105</v>
      </c>
      <c r="I20" t="s">
        <v>106</v>
      </c>
      <c r="J20" s="67">
        <v>190</v>
      </c>
      <c r="M20" s="22" t="s">
        <v>31</v>
      </c>
      <c r="N20">
        <v>3740</v>
      </c>
    </row>
    <row r="21" spans="3:14" x14ac:dyDescent="0.2">
      <c r="M21" s="22" t="s">
        <v>32</v>
      </c>
      <c r="N21">
        <v>3870</v>
      </c>
    </row>
    <row r="22" spans="3:14" x14ac:dyDescent="0.2">
      <c r="M22" t="s">
        <v>37</v>
      </c>
      <c r="N22">
        <v>4310</v>
      </c>
    </row>
    <row r="23" spans="3:14" x14ac:dyDescent="0.2">
      <c r="M23" t="s">
        <v>38</v>
      </c>
      <c r="N23">
        <v>4440</v>
      </c>
    </row>
    <row r="24" spans="3:14" x14ac:dyDescent="0.2">
      <c r="M24" t="s">
        <v>39</v>
      </c>
      <c r="N24">
        <v>4310</v>
      </c>
    </row>
    <row r="25" spans="3:14" x14ac:dyDescent="0.2">
      <c r="M25" t="s">
        <v>40</v>
      </c>
      <c r="N25">
        <v>4440</v>
      </c>
    </row>
    <row r="31" spans="3:14" ht="51" x14ac:dyDescent="0.2">
      <c r="C31" t="s">
        <v>260</v>
      </c>
      <c r="D31" t="s">
        <v>261</v>
      </c>
      <c r="E31" t="s">
        <v>262</v>
      </c>
      <c r="F31" t="s">
        <v>263</v>
      </c>
      <c r="G31" t="s">
        <v>264</v>
      </c>
      <c r="H31" t="s">
        <v>265</v>
      </c>
      <c r="K31" s="114" t="s">
        <v>323</v>
      </c>
      <c r="M31" s="67" t="s">
        <v>318</v>
      </c>
      <c r="N31" s="67" t="s">
        <v>319</v>
      </c>
    </row>
    <row r="32" spans="3:14" x14ac:dyDescent="0.2">
      <c r="G32" t="s">
        <v>105</v>
      </c>
      <c r="H32" t="s">
        <v>88</v>
      </c>
      <c r="K32" t="s">
        <v>327</v>
      </c>
      <c r="M32" s="67" t="s">
        <v>320</v>
      </c>
      <c r="N32" s="67"/>
    </row>
    <row r="33" spans="8:14" x14ac:dyDescent="0.2">
      <c r="H33" t="s">
        <v>89</v>
      </c>
      <c r="K33" t="s">
        <v>325</v>
      </c>
      <c r="M33" s="67">
        <v>1</v>
      </c>
      <c r="N33" s="67">
        <v>2</v>
      </c>
    </row>
    <row r="34" spans="8:14" x14ac:dyDescent="0.2">
      <c r="H34" t="s">
        <v>90</v>
      </c>
      <c r="K34" t="s">
        <v>326</v>
      </c>
      <c r="M34" s="67">
        <v>2</v>
      </c>
      <c r="N34" s="67">
        <v>2</v>
      </c>
    </row>
    <row r="35" spans="8:14" x14ac:dyDescent="0.2">
      <c r="H35" t="s">
        <v>91</v>
      </c>
      <c r="M35" s="67">
        <v>3</v>
      </c>
      <c r="N35" s="67">
        <v>2</v>
      </c>
    </row>
    <row r="36" spans="8:14" x14ac:dyDescent="0.2">
      <c r="H36" t="s">
        <v>92</v>
      </c>
      <c r="M36" s="67">
        <v>4</v>
      </c>
      <c r="N36" s="67">
        <v>2</v>
      </c>
    </row>
    <row r="37" spans="8:14" x14ac:dyDescent="0.2">
      <c r="H37" t="s">
        <v>93</v>
      </c>
      <c r="M37" s="67">
        <v>5</v>
      </c>
      <c r="N37" s="67">
        <v>2</v>
      </c>
    </row>
    <row r="38" spans="8:14" x14ac:dyDescent="0.2">
      <c r="H38" t="s">
        <v>94</v>
      </c>
      <c r="M38" s="67">
        <v>6</v>
      </c>
      <c r="N38" s="67">
        <v>1</v>
      </c>
    </row>
    <row r="39" spans="8:14" x14ac:dyDescent="0.2">
      <c r="H39" t="s">
        <v>95</v>
      </c>
      <c r="M39" s="67">
        <v>7</v>
      </c>
      <c r="N39" s="67">
        <v>1</v>
      </c>
    </row>
    <row r="40" spans="8:14" x14ac:dyDescent="0.2">
      <c r="H40" t="s">
        <v>96</v>
      </c>
      <c r="M40" s="67">
        <v>8</v>
      </c>
      <c r="N40" s="67">
        <v>1</v>
      </c>
    </row>
    <row r="41" spans="8:14" x14ac:dyDescent="0.2">
      <c r="H41" t="s">
        <v>97</v>
      </c>
      <c r="M41" s="67">
        <v>9</v>
      </c>
      <c r="N41" s="67">
        <v>1</v>
      </c>
    </row>
    <row r="42" spans="8:14" x14ac:dyDescent="0.2">
      <c r="H42" t="s">
        <v>98</v>
      </c>
      <c r="M42" s="67">
        <v>10</v>
      </c>
      <c r="N42" s="67">
        <v>2</v>
      </c>
    </row>
    <row r="43" spans="8:14" x14ac:dyDescent="0.2">
      <c r="H43" t="s">
        <v>99</v>
      </c>
      <c r="M43" s="67">
        <v>11</v>
      </c>
      <c r="N43" s="67">
        <v>2</v>
      </c>
    </row>
    <row r="44" spans="8:14" x14ac:dyDescent="0.2">
      <c r="H44" t="s">
        <v>100</v>
      </c>
      <c r="M44" s="67">
        <v>12</v>
      </c>
      <c r="N44" s="67">
        <v>2</v>
      </c>
    </row>
    <row r="45" spans="8:14" x14ac:dyDescent="0.2">
      <c r="H45" t="s">
        <v>101</v>
      </c>
      <c r="M45" s="67">
        <v>13</v>
      </c>
      <c r="N45" s="67">
        <v>2</v>
      </c>
    </row>
    <row r="46" spans="8:14" x14ac:dyDescent="0.2">
      <c r="H46" t="s">
        <v>102</v>
      </c>
      <c r="M46" s="67">
        <v>14</v>
      </c>
      <c r="N46" s="67">
        <v>1</v>
      </c>
    </row>
    <row r="47" spans="8:14" x14ac:dyDescent="0.2">
      <c r="H47" t="s">
        <v>105</v>
      </c>
      <c r="M47" s="67">
        <v>15</v>
      </c>
      <c r="N47" s="67">
        <v>2</v>
      </c>
    </row>
    <row r="48" spans="8:14" x14ac:dyDescent="0.2">
      <c r="M48" s="67">
        <v>16</v>
      </c>
      <c r="N48" s="67">
        <v>2</v>
      </c>
    </row>
    <row r="49" spans="13:14" x14ac:dyDescent="0.2">
      <c r="M49" s="67">
        <v>17</v>
      </c>
      <c r="N49" s="67">
        <v>2</v>
      </c>
    </row>
    <row r="50" spans="13:14" x14ac:dyDescent="0.2">
      <c r="M50" s="67">
        <v>18</v>
      </c>
      <c r="N50" s="67">
        <v>2</v>
      </c>
    </row>
    <row r="51" spans="13:14" x14ac:dyDescent="0.2">
      <c r="M51" s="67">
        <v>19</v>
      </c>
      <c r="N51" s="67">
        <v>2</v>
      </c>
    </row>
    <row r="52" spans="13:14" x14ac:dyDescent="0.2">
      <c r="M52" s="67">
        <v>20</v>
      </c>
      <c r="N52" s="67">
        <v>1</v>
      </c>
    </row>
    <row r="53" spans="13:14" x14ac:dyDescent="0.2">
      <c r="M53" s="67">
        <v>21</v>
      </c>
      <c r="N53" s="67">
        <v>2</v>
      </c>
    </row>
    <row r="54" spans="13:14" x14ac:dyDescent="0.2">
      <c r="M54" s="67">
        <v>22</v>
      </c>
      <c r="N54" s="67">
        <v>2</v>
      </c>
    </row>
    <row r="55" spans="13:14" x14ac:dyDescent="0.2">
      <c r="M55" s="67">
        <v>23</v>
      </c>
      <c r="N55" s="67">
        <v>2</v>
      </c>
    </row>
    <row r="56" spans="13:14" x14ac:dyDescent="0.2">
      <c r="M56" s="67">
        <v>24</v>
      </c>
      <c r="N56" s="67">
        <v>2</v>
      </c>
    </row>
    <row r="57" spans="13:14" x14ac:dyDescent="0.2">
      <c r="M57" s="67">
        <v>25</v>
      </c>
      <c r="N57" s="67">
        <v>2</v>
      </c>
    </row>
    <row r="58" spans="13:14" x14ac:dyDescent="0.2">
      <c r="M58" s="67">
        <v>26</v>
      </c>
      <c r="N58" s="67">
        <v>2</v>
      </c>
    </row>
    <row r="59" spans="13:14" x14ac:dyDescent="0.2">
      <c r="M59" s="67">
        <v>27</v>
      </c>
      <c r="N59" s="67">
        <v>2</v>
      </c>
    </row>
    <row r="60" spans="13:14" x14ac:dyDescent="0.2">
      <c r="M60" s="67">
        <v>28</v>
      </c>
      <c r="N60" s="67">
        <v>2</v>
      </c>
    </row>
    <row r="61" spans="13:14" x14ac:dyDescent="0.2">
      <c r="M61" s="67">
        <v>29</v>
      </c>
      <c r="N61" s="67">
        <v>2</v>
      </c>
    </row>
    <row r="62" spans="13:14" x14ac:dyDescent="0.2">
      <c r="M62" s="67">
        <v>30</v>
      </c>
      <c r="N62" s="67">
        <v>2</v>
      </c>
    </row>
    <row r="63" spans="13:14" x14ac:dyDescent="0.2">
      <c r="M63" s="67">
        <v>31</v>
      </c>
      <c r="N63" s="67">
        <v>2</v>
      </c>
    </row>
    <row r="64" spans="13:14" x14ac:dyDescent="0.2">
      <c r="M64" s="67">
        <v>32</v>
      </c>
      <c r="N64" s="67">
        <v>2</v>
      </c>
    </row>
    <row r="65" spans="13:14" x14ac:dyDescent="0.2">
      <c r="M65" s="67">
        <v>33</v>
      </c>
      <c r="N65" s="67">
        <v>1</v>
      </c>
    </row>
    <row r="66" spans="13:14" x14ac:dyDescent="0.2">
      <c r="M66" s="67">
        <v>34</v>
      </c>
      <c r="N66" s="67">
        <v>1</v>
      </c>
    </row>
    <row r="67" spans="13:14" x14ac:dyDescent="0.2">
      <c r="M67" s="67">
        <v>35</v>
      </c>
      <c r="N67" s="67">
        <v>2</v>
      </c>
    </row>
    <row r="68" spans="13:14" x14ac:dyDescent="0.2">
      <c r="M68" s="67">
        <v>36</v>
      </c>
      <c r="N68" s="67">
        <v>2</v>
      </c>
    </row>
    <row r="69" spans="13:14" x14ac:dyDescent="0.2">
      <c r="M69" s="67">
        <v>37</v>
      </c>
      <c r="N69" s="67">
        <v>1</v>
      </c>
    </row>
    <row r="70" spans="13:14" x14ac:dyDescent="0.2">
      <c r="M70" s="67">
        <v>38</v>
      </c>
      <c r="N70" s="67">
        <v>2</v>
      </c>
    </row>
    <row r="71" spans="13:14" x14ac:dyDescent="0.2">
      <c r="M71" s="67">
        <v>39</v>
      </c>
      <c r="N71" s="67">
        <v>2</v>
      </c>
    </row>
    <row r="72" spans="13:14" x14ac:dyDescent="0.2">
      <c r="M72" s="67">
        <v>40</v>
      </c>
      <c r="N72" s="67">
        <v>2</v>
      </c>
    </row>
    <row r="73" spans="13:14" x14ac:dyDescent="0.2">
      <c r="M73" s="67">
        <v>41</v>
      </c>
      <c r="N73" s="67">
        <v>2</v>
      </c>
    </row>
    <row r="74" spans="13:14" x14ac:dyDescent="0.2">
      <c r="M74" s="67">
        <v>42</v>
      </c>
      <c r="N74" s="67">
        <v>2</v>
      </c>
    </row>
    <row r="75" spans="13:14" x14ac:dyDescent="0.2">
      <c r="M75" s="67">
        <v>43</v>
      </c>
      <c r="N75" s="67">
        <v>2</v>
      </c>
    </row>
    <row r="76" spans="13:14" x14ac:dyDescent="0.2">
      <c r="M76" s="67">
        <v>44</v>
      </c>
      <c r="N76" s="67">
        <v>2</v>
      </c>
    </row>
    <row r="77" spans="13:14" x14ac:dyDescent="0.2">
      <c r="M77" s="67">
        <v>45</v>
      </c>
      <c r="N77" s="67">
        <v>2</v>
      </c>
    </row>
    <row r="78" spans="13:14" x14ac:dyDescent="0.2">
      <c r="M78" s="67">
        <v>46</v>
      </c>
      <c r="N78" s="67">
        <v>2</v>
      </c>
    </row>
  </sheetData>
  <sheetProtection algorithmName="SHA-512" hashValue="2spSG1PmwbCIYyNL1wmYEWEMfk/Y77HBLNQtFZwX+VHb13VeQKcw8wtcQmJl/JZEJSoGWA7r4bKO2rUTt9HdUw==" saltValue="1a2+H74XDi2o71a3P/ocS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8"/>
  <dimension ref="C4:S95"/>
  <sheetViews>
    <sheetView workbookViewId="0">
      <selection activeCell="D10" sqref="D10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10" max="10" width="4.28515625" bestFit="1" customWidth="1"/>
    <col min="11" max="11" width="18.140625" bestFit="1" customWidth="1"/>
    <col min="12" max="12" width="26.5703125" bestFit="1" customWidth="1"/>
    <col min="13" max="13" width="40.28515625" bestFit="1" customWidth="1"/>
    <col min="14" max="14" width="9" customWidth="1"/>
    <col min="15" max="15" width="6" bestFit="1" customWidth="1"/>
    <col min="18" max="18" width="13.42578125" bestFit="1" customWidth="1"/>
    <col min="19" max="19" width="10.7109375" bestFit="1" customWidth="1"/>
  </cols>
  <sheetData>
    <row r="4" spans="3:19" ht="18.75" customHeight="1" x14ac:dyDescent="0.2">
      <c r="C4" t="s">
        <v>53</v>
      </c>
      <c r="D4" t="s">
        <v>54</v>
      </c>
      <c r="E4" t="s">
        <v>203</v>
      </c>
      <c r="F4" t="s">
        <v>207</v>
      </c>
      <c r="G4" t="s">
        <v>82</v>
      </c>
      <c r="H4" t="s">
        <v>104</v>
      </c>
      <c r="I4" t="s">
        <v>103</v>
      </c>
      <c r="J4" s="67" t="s">
        <v>109</v>
      </c>
      <c r="K4" t="s">
        <v>83</v>
      </c>
      <c r="L4" t="s">
        <v>321</v>
      </c>
      <c r="M4" s="22" t="s">
        <v>41</v>
      </c>
      <c r="N4" s="22">
        <v>0</v>
      </c>
      <c r="O4" s="22" t="s">
        <v>42</v>
      </c>
      <c r="R4" t="s">
        <v>110</v>
      </c>
      <c r="S4" t="s">
        <v>111</v>
      </c>
    </row>
    <row r="5" spans="3:19" ht="18.75" customHeight="1" x14ac:dyDescent="0.2">
      <c r="C5" s="67">
        <v>10</v>
      </c>
      <c r="D5" t="s">
        <v>55</v>
      </c>
      <c r="E5" t="s">
        <v>199</v>
      </c>
      <c r="F5" t="s">
        <v>206</v>
      </c>
      <c r="G5" t="s">
        <v>59</v>
      </c>
      <c r="H5" t="s">
        <v>88</v>
      </c>
      <c r="I5" t="s">
        <v>106</v>
      </c>
      <c r="J5" s="67">
        <v>200</v>
      </c>
      <c r="K5" s="22" t="s">
        <v>187</v>
      </c>
      <c r="L5" s="22" t="s">
        <v>190</v>
      </c>
      <c r="M5" s="22" t="s">
        <v>17</v>
      </c>
      <c r="N5" s="22">
        <v>1350</v>
      </c>
      <c r="O5" s="22" t="s">
        <v>43</v>
      </c>
      <c r="Q5" s="22" t="s">
        <v>212</v>
      </c>
    </row>
    <row r="6" spans="3:19" x14ac:dyDescent="0.2">
      <c r="C6" s="67">
        <v>16</v>
      </c>
      <c r="D6" t="s">
        <v>56</v>
      </c>
      <c r="E6" t="s">
        <v>200</v>
      </c>
      <c r="F6" t="s">
        <v>208</v>
      </c>
      <c r="G6" t="s">
        <v>60</v>
      </c>
      <c r="H6" t="s">
        <v>89</v>
      </c>
      <c r="I6" t="s">
        <v>106</v>
      </c>
      <c r="J6" s="67">
        <v>200</v>
      </c>
      <c r="K6" s="22" t="s">
        <v>194</v>
      </c>
      <c r="L6" s="22" t="s">
        <v>48</v>
      </c>
      <c r="M6" s="22" t="s">
        <v>18</v>
      </c>
      <c r="N6" s="22">
        <v>1430</v>
      </c>
      <c r="O6" s="22" t="s">
        <v>44</v>
      </c>
      <c r="Q6" s="22" t="s">
        <v>211</v>
      </c>
    </row>
    <row r="7" spans="3:19" x14ac:dyDescent="0.2">
      <c r="C7" s="67">
        <v>19</v>
      </c>
      <c r="D7" t="s">
        <v>57</v>
      </c>
      <c r="E7" t="s">
        <v>201</v>
      </c>
      <c r="F7" t="s">
        <v>209</v>
      </c>
      <c r="G7" t="s">
        <v>61</v>
      </c>
      <c r="H7" t="s">
        <v>90</v>
      </c>
      <c r="I7" t="s">
        <v>107</v>
      </c>
      <c r="J7" s="67">
        <v>200</v>
      </c>
      <c r="K7" s="22" t="s">
        <v>49</v>
      </c>
      <c r="L7" s="22" t="s">
        <v>191</v>
      </c>
      <c r="M7" s="22" t="s">
        <v>19</v>
      </c>
      <c r="N7" s="22">
        <v>1570</v>
      </c>
      <c r="O7" s="22" t="s">
        <v>45</v>
      </c>
    </row>
    <row r="8" spans="3:19" x14ac:dyDescent="0.2">
      <c r="C8" s="340">
        <v>22</v>
      </c>
      <c r="D8" t="s">
        <v>58</v>
      </c>
      <c r="E8" t="s">
        <v>202</v>
      </c>
      <c r="F8" t="s">
        <v>210</v>
      </c>
      <c r="G8" t="s">
        <v>63</v>
      </c>
      <c r="H8" t="s">
        <v>91</v>
      </c>
      <c r="I8" t="s">
        <v>107</v>
      </c>
      <c r="J8" s="67">
        <v>200</v>
      </c>
      <c r="K8" s="22" t="s">
        <v>188</v>
      </c>
      <c r="L8" s="22" t="s">
        <v>286</v>
      </c>
      <c r="M8" s="22" t="s">
        <v>20</v>
      </c>
      <c r="N8" s="22">
        <v>1650</v>
      </c>
      <c r="O8" s="22" t="s">
        <v>46</v>
      </c>
    </row>
    <row r="9" spans="3:19" x14ac:dyDescent="0.2">
      <c r="C9" t="s">
        <v>198</v>
      </c>
      <c r="G9" t="s">
        <v>62</v>
      </c>
      <c r="H9" t="s">
        <v>92</v>
      </c>
      <c r="I9" t="s">
        <v>107</v>
      </c>
      <c r="J9" s="67">
        <v>200</v>
      </c>
      <c r="K9" s="22" t="s">
        <v>195</v>
      </c>
      <c r="L9" s="22" t="s">
        <v>287</v>
      </c>
      <c r="M9" s="22" t="s">
        <v>23</v>
      </c>
      <c r="N9" s="22">
        <v>1410</v>
      </c>
      <c r="O9" s="22" t="s">
        <v>47</v>
      </c>
    </row>
    <row r="10" spans="3:19" ht="15" customHeight="1" x14ac:dyDescent="0.2">
      <c r="G10" t="s">
        <v>185</v>
      </c>
      <c r="H10" t="s">
        <v>93</v>
      </c>
      <c r="I10" t="s">
        <v>107</v>
      </c>
      <c r="J10" s="67">
        <v>200</v>
      </c>
      <c r="K10" s="22" t="s">
        <v>196</v>
      </c>
      <c r="L10" s="22" t="s">
        <v>328</v>
      </c>
      <c r="M10" s="22" t="s">
        <v>24</v>
      </c>
      <c r="N10" s="22">
        <v>1490</v>
      </c>
      <c r="O10" t="s">
        <v>50</v>
      </c>
    </row>
    <row r="11" spans="3:19" ht="15" customHeight="1" x14ac:dyDescent="0.2">
      <c r="H11" t="s">
        <v>94</v>
      </c>
      <c r="I11" t="s">
        <v>107</v>
      </c>
      <c r="J11" s="67">
        <v>200</v>
      </c>
      <c r="K11" s="22" t="s">
        <v>192</v>
      </c>
      <c r="L11" s="22" t="s">
        <v>322</v>
      </c>
      <c r="M11" t="s">
        <v>25</v>
      </c>
      <c r="N11">
        <v>1980</v>
      </c>
    </row>
    <row r="12" spans="3:19" ht="15" customHeight="1" x14ac:dyDescent="0.2">
      <c r="H12" t="s">
        <v>95</v>
      </c>
      <c r="I12" t="s">
        <v>106</v>
      </c>
      <c r="J12" s="67">
        <v>200</v>
      </c>
      <c r="K12" s="22" t="s">
        <v>193</v>
      </c>
      <c r="L12" s="22" t="s">
        <v>340</v>
      </c>
      <c r="M12" t="s">
        <v>26</v>
      </c>
      <c r="N12">
        <v>2060</v>
      </c>
    </row>
    <row r="13" spans="3:19" ht="15" customHeight="1" x14ac:dyDescent="0.2">
      <c r="H13" t="s">
        <v>96</v>
      </c>
      <c r="I13" t="s">
        <v>108</v>
      </c>
      <c r="J13" s="67">
        <v>200</v>
      </c>
      <c r="K13" s="22" t="s">
        <v>666</v>
      </c>
      <c r="L13" s="22" t="s">
        <v>339</v>
      </c>
      <c r="M13" t="s">
        <v>27</v>
      </c>
      <c r="N13">
        <v>1980</v>
      </c>
    </row>
    <row r="14" spans="3:19" ht="15" customHeight="1" x14ac:dyDescent="0.2">
      <c r="H14" t="s">
        <v>97</v>
      </c>
      <c r="I14" t="s">
        <v>108</v>
      </c>
      <c r="J14" s="67">
        <v>200</v>
      </c>
      <c r="K14" s="22" t="s">
        <v>189</v>
      </c>
      <c r="L14" s="22" t="s">
        <v>338</v>
      </c>
      <c r="M14" t="s">
        <v>28</v>
      </c>
      <c r="N14">
        <v>2060</v>
      </c>
    </row>
    <row r="15" spans="3:19" ht="15" customHeight="1" x14ac:dyDescent="0.2">
      <c r="H15" t="s">
        <v>98</v>
      </c>
      <c r="I15" t="s">
        <v>108</v>
      </c>
      <c r="J15" s="67">
        <v>200</v>
      </c>
      <c r="K15" s="22" t="s">
        <v>197</v>
      </c>
      <c r="L15" s="22" t="s">
        <v>337</v>
      </c>
      <c r="M15" t="s">
        <v>41</v>
      </c>
      <c r="N15">
        <v>0</v>
      </c>
    </row>
    <row r="16" spans="3:19" ht="15" customHeight="1" x14ac:dyDescent="0.2">
      <c r="H16" t="s">
        <v>99</v>
      </c>
      <c r="I16" t="s">
        <v>106</v>
      </c>
      <c r="J16" s="67">
        <v>200</v>
      </c>
      <c r="L16" s="22" t="s">
        <v>186</v>
      </c>
      <c r="M16" t="s">
        <v>36</v>
      </c>
      <c r="N16">
        <v>3680</v>
      </c>
    </row>
    <row r="17" spans="8:14" x14ac:dyDescent="0.2">
      <c r="H17" t="s">
        <v>100</v>
      </c>
      <c r="I17" t="s">
        <v>108</v>
      </c>
      <c r="J17" s="67">
        <v>200</v>
      </c>
      <c r="L17" s="22" t="s">
        <v>83</v>
      </c>
      <c r="M17" t="s">
        <v>35</v>
      </c>
      <c r="N17">
        <v>3810</v>
      </c>
    </row>
    <row r="18" spans="8:14" x14ac:dyDescent="0.2">
      <c r="H18" t="s">
        <v>101</v>
      </c>
      <c r="I18" t="s">
        <v>108</v>
      </c>
      <c r="J18" s="67">
        <v>200</v>
      </c>
      <c r="L18" s="22"/>
      <c r="M18" t="s">
        <v>34</v>
      </c>
      <c r="N18">
        <v>3900</v>
      </c>
    </row>
    <row r="19" spans="8:14" x14ac:dyDescent="0.2">
      <c r="H19" t="s">
        <v>102</v>
      </c>
      <c r="I19" t="s">
        <v>108</v>
      </c>
      <c r="J19" s="67">
        <v>200</v>
      </c>
      <c r="M19" t="s">
        <v>33</v>
      </c>
      <c r="N19">
        <v>4030</v>
      </c>
    </row>
    <row r="20" spans="8:14" x14ac:dyDescent="0.2">
      <c r="H20" t="s">
        <v>105</v>
      </c>
      <c r="I20" t="s">
        <v>106</v>
      </c>
      <c r="J20" s="67">
        <v>190</v>
      </c>
      <c r="M20" s="22" t="s">
        <v>31</v>
      </c>
      <c r="N20">
        <v>3740</v>
      </c>
    </row>
    <row r="21" spans="8:14" x14ac:dyDescent="0.2">
      <c r="H21" t="s">
        <v>539</v>
      </c>
      <c r="M21" s="22" t="s">
        <v>32</v>
      </c>
      <c r="N21">
        <v>3870</v>
      </c>
    </row>
    <row r="22" spans="8:14" x14ac:dyDescent="0.2">
      <c r="H22" t="s">
        <v>542</v>
      </c>
      <c r="M22" t="s">
        <v>37</v>
      </c>
      <c r="N22">
        <v>4310</v>
      </c>
    </row>
    <row r="23" spans="8:14" x14ac:dyDescent="0.2">
      <c r="H23" t="s">
        <v>540</v>
      </c>
      <c r="M23" t="s">
        <v>38</v>
      </c>
      <c r="N23">
        <v>4440</v>
      </c>
    </row>
    <row r="24" spans="8:14" x14ac:dyDescent="0.2">
      <c r="H24" t="s">
        <v>541</v>
      </c>
      <c r="M24" t="s">
        <v>39</v>
      </c>
      <c r="N24">
        <v>4310</v>
      </c>
    </row>
    <row r="25" spans="8:14" x14ac:dyDescent="0.2">
      <c r="H25" t="s">
        <v>363</v>
      </c>
      <c r="M25" t="s">
        <v>40</v>
      </c>
      <c r="N25">
        <v>4440</v>
      </c>
    </row>
    <row r="26" spans="8:14" x14ac:dyDescent="0.2">
      <c r="H26" t="s">
        <v>667</v>
      </c>
    </row>
    <row r="27" spans="8:14" x14ac:dyDescent="0.2">
      <c r="H27" t="s">
        <v>668</v>
      </c>
    </row>
    <row r="28" spans="8:14" x14ac:dyDescent="0.2">
      <c r="H28" t="s">
        <v>669</v>
      </c>
    </row>
    <row r="29" spans="8:14" x14ac:dyDescent="0.2">
      <c r="H29" t="s">
        <v>670</v>
      </c>
    </row>
    <row r="30" spans="8:14" x14ac:dyDescent="0.2">
      <c r="H30" t="s">
        <v>671</v>
      </c>
    </row>
    <row r="31" spans="8:14" x14ac:dyDescent="0.2">
      <c r="H31" t="s">
        <v>672</v>
      </c>
    </row>
    <row r="32" spans="8:14" x14ac:dyDescent="0.2">
      <c r="H32" t="s">
        <v>673</v>
      </c>
    </row>
    <row r="33" spans="3:14" x14ac:dyDescent="0.2">
      <c r="H33" t="s">
        <v>674</v>
      </c>
    </row>
    <row r="34" spans="3:14" x14ac:dyDescent="0.2">
      <c r="H34" t="s">
        <v>675</v>
      </c>
    </row>
    <row r="35" spans="3:14" x14ac:dyDescent="0.2">
      <c r="H35" t="s">
        <v>676</v>
      </c>
    </row>
    <row r="36" spans="3:14" x14ac:dyDescent="0.2">
      <c r="H36" t="s">
        <v>677</v>
      </c>
    </row>
    <row r="37" spans="3:14" x14ac:dyDescent="0.2">
      <c r="H37" t="s">
        <v>678</v>
      </c>
    </row>
    <row r="41" spans="3:14" x14ac:dyDescent="0.2">
      <c r="C41" t="s">
        <v>260</v>
      </c>
      <c r="D41" t="s">
        <v>261</v>
      </c>
      <c r="E41" t="s">
        <v>262</v>
      </c>
      <c r="F41" t="s">
        <v>263</v>
      </c>
      <c r="G41" t="s">
        <v>264</v>
      </c>
      <c r="M41" s="67" t="s">
        <v>318</v>
      </c>
      <c r="N41" s="67" t="s">
        <v>319</v>
      </c>
    </row>
    <row r="42" spans="3:14" ht="51" x14ac:dyDescent="0.2">
      <c r="G42" t="s">
        <v>105</v>
      </c>
      <c r="H42" t="s">
        <v>265</v>
      </c>
      <c r="K42" s="114" t="s">
        <v>323</v>
      </c>
      <c r="M42" s="67" t="s">
        <v>320</v>
      </c>
      <c r="N42" s="67"/>
    </row>
    <row r="43" spans="3:14" x14ac:dyDescent="0.2">
      <c r="H43" t="s">
        <v>88</v>
      </c>
      <c r="K43" t="s">
        <v>327</v>
      </c>
      <c r="M43" s="67" t="s">
        <v>531</v>
      </c>
      <c r="N43" s="67">
        <v>1</v>
      </c>
    </row>
    <row r="44" spans="3:14" x14ac:dyDescent="0.2">
      <c r="H44" t="s">
        <v>89</v>
      </c>
      <c r="K44" t="s">
        <v>325</v>
      </c>
      <c r="M44" s="67" t="s">
        <v>532</v>
      </c>
      <c r="N44" s="67">
        <v>2</v>
      </c>
    </row>
    <row r="45" spans="3:14" x14ac:dyDescent="0.2">
      <c r="H45" t="s">
        <v>90</v>
      </c>
      <c r="K45" t="s">
        <v>326</v>
      </c>
      <c r="M45" s="67" t="s">
        <v>356</v>
      </c>
      <c r="N45" s="67"/>
    </row>
    <row r="46" spans="3:14" x14ac:dyDescent="0.2">
      <c r="H46" t="s">
        <v>91</v>
      </c>
      <c r="M46" s="67" t="s">
        <v>357</v>
      </c>
      <c r="N46" s="67"/>
    </row>
    <row r="47" spans="3:14" x14ac:dyDescent="0.2">
      <c r="H47" t="s">
        <v>92</v>
      </c>
      <c r="M47" s="67" t="s">
        <v>358</v>
      </c>
      <c r="N47" s="67"/>
    </row>
    <row r="48" spans="3:14" x14ac:dyDescent="0.2">
      <c r="H48" t="s">
        <v>93</v>
      </c>
      <c r="M48" s="67" t="s">
        <v>359</v>
      </c>
      <c r="N48" s="67"/>
    </row>
    <row r="49" spans="8:14" x14ac:dyDescent="0.2">
      <c r="H49" t="s">
        <v>94</v>
      </c>
      <c r="M49" s="67" t="s">
        <v>360</v>
      </c>
      <c r="N49" s="67"/>
    </row>
    <row r="50" spans="8:14" x14ac:dyDescent="0.2">
      <c r="H50" t="s">
        <v>95</v>
      </c>
      <c r="M50" s="67">
        <v>1</v>
      </c>
      <c r="N50" s="67">
        <v>2</v>
      </c>
    </row>
    <row r="51" spans="8:14" x14ac:dyDescent="0.2">
      <c r="H51" t="s">
        <v>96</v>
      </c>
      <c r="M51" s="67">
        <v>2</v>
      </c>
      <c r="N51" s="67">
        <v>2</v>
      </c>
    </row>
    <row r="52" spans="8:14" x14ac:dyDescent="0.2">
      <c r="H52" t="s">
        <v>97</v>
      </c>
      <c r="M52" s="67">
        <v>3</v>
      </c>
      <c r="N52" s="67">
        <v>2</v>
      </c>
    </row>
    <row r="53" spans="8:14" x14ac:dyDescent="0.2">
      <c r="H53" t="s">
        <v>98</v>
      </c>
      <c r="M53" s="67">
        <v>4</v>
      </c>
      <c r="N53" s="67">
        <v>2</v>
      </c>
    </row>
    <row r="54" spans="8:14" x14ac:dyDescent="0.2">
      <c r="H54" t="s">
        <v>99</v>
      </c>
      <c r="M54" s="67">
        <v>5</v>
      </c>
      <c r="N54" s="67">
        <v>2</v>
      </c>
    </row>
    <row r="55" spans="8:14" x14ac:dyDescent="0.2">
      <c r="H55" t="s">
        <v>100</v>
      </c>
      <c r="M55" s="67">
        <v>6</v>
      </c>
      <c r="N55" s="67">
        <v>1</v>
      </c>
    </row>
    <row r="56" spans="8:14" x14ac:dyDescent="0.2">
      <c r="H56" t="s">
        <v>101</v>
      </c>
      <c r="M56" s="67">
        <v>7</v>
      </c>
      <c r="N56" s="67">
        <v>1</v>
      </c>
    </row>
    <row r="57" spans="8:14" x14ac:dyDescent="0.2">
      <c r="H57" t="s">
        <v>102</v>
      </c>
      <c r="M57" s="67">
        <v>8</v>
      </c>
      <c r="N57" s="67">
        <v>1</v>
      </c>
    </row>
    <row r="58" spans="8:14" x14ac:dyDescent="0.2">
      <c r="H58" t="s">
        <v>105</v>
      </c>
      <c r="M58" s="67">
        <v>9</v>
      </c>
      <c r="N58" s="67">
        <v>1</v>
      </c>
    </row>
    <row r="59" spans="8:14" x14ac:dyDescent="0.2">
      <c r="H59" t="s">
        <v>539</v>
      </c>
      <c r="M59" s="67">
        <v>10</v>
      </c>
      <c r="N59" s="67">
        <v>2</v>
      </c>
    </row>
    <row r="60" spans="8:14" x14ac:dyDescent="0.2">
      <c r="H60" t="s">
        <v>540</v>
      </c>
      <c r="M60" s="67">
        <v>11</v>
      </c>
      <c r="N60" s="67">
        <v>2</v>
      </c>
    </row>
    <row r="61" spans="8:14" x14ac:dyDescent="0.2">
      <c r="H61" t="s">
        <v>541</v>
      </c>
      <c r="M61" s="67">
        <v>12</v>
      </c>
      <c r="N61" s="67">
        <v>2</v>
      </c>
    </row>
    <row r="62" spans="8:14" x14ac:dyDescent="0.2">
      <c r="H62" t="s">
        <v>363</v>
      </c>
      <c r="M62" s="67">
        <v>13</v>
      </c>
      <c r="N62" s="67">
        <v>2</v>
      </c>
    </row>
    <row r="63" spans="8:14" x14ac:dyDescent="0.2">
      <c r="M63" s="67">
        <v>14</v>
      </c>
      <c r="N63" s="67">
        <v>1</v>
      </c>
    </row>
    <row r="64" spans="8:14" x14ac:dyDescent="0.2">
      <c r="M64" s="67">
        <v>15</v>
      </c>
      <c r="N64" s="67">
        <v>2</v>
      </c>
    </row>
    <row r="65" spans="13:14" x14ac:dyDescent="0.2">
      <c r="M65" s="67">
        <v>16</v>
      </c>
      <c r="N65" s="67">
        <v>2</v>
      </c>
    </row>
    <row r="66" spans="13:14" x14ac:dyDescent="0.2">
      <c r="M66" s="67">
        <v>17</v>
      </c>
      <c r="N66" s="67">
        <v>2</v>
      </c>
    </row>
    <row r="67" spans="13:14" x14ac:dyDescent="0.2">
      <c r="M67" s="67">
        <v>18</v>
      </c>
      <c r="N67" s="67">
        <v>2</v>
      </c>
    </row>
    <row r="68" spans="13:14" x14ac:dyDescent="0.2">
      <c r="M68" s="67">
        <v>19</v>
      </c>
      <c r="N68" s="67">
        <v>2</v>
      </c>
    </row>
    <row r="69" spans="13:14" x14ac:dyDescent="0.2">
      <c r="M69" s="67">
        <v>20</v>
      </c>
      <c r="N69" s="67">
        <v>1</v>
      </c>
    </row>
    <row r="70" spans="13:14" x14ac:dyDescent="0.2">
      <c r="M70" s="67">
        <v>21</v>
      </c>
      <c r="N70" s="67">
        <v>2</v>
      </c>
    </row>
    <row r="71" spans="13:14" x14ac:dyDescent="0.2">
      <c r="M71" s="67">
        <v>22</v>
      </c>
      <c r="N71" s="67">
        <v>2</v>
      </c>
    </row>
    <row r="72" spans="13:14" x14ac:dyDescent="0.2">
      <c r="M72" s="67">
        <v>23</v>
      </c>
      <c r="N72" s="67">
        <v>2</v>
      </c>
    </row>
    <row r="73" spans="13:14" x14ac:dyDescent="0.2">
      <c r="M73" s="67">
        <v>24</v>
      </c>
      <c r="N73" s="67">
        <v>2</v>
      </c>
    </row>
    <row r="74" spans="13:14" x14ac:dyDescent="0.2">
      <c r="M74" s="67">
        <v>25</v>
      </c>
      <c r="N74" s="67">
        <v>2</v>
      </c>
    </row>
    <row r="75" spans="13:14" x14ac:dyDescent="0.2">
      <c r="M75" s="67">
        <v>26</v>
      </c>
      <c r="N75" s="67">
        <v>2</v>
      </c>
    </row>
    <row r="76" spans="13:14" x14ac:dyDescent="0.2">
      <c r="M76" s="67">
        <v>27</v>
      </c>
      <c r="N76" s="67">
        <v>2</v>
      </c>
    </row>
    <row r="77" spans="13:14" x14ac:dyDescent="0.2">
      <c r="M77" s="67">
        <v>28</v>
      </c>
      <c r="N77" s="67">
        <v>2</v>
      </c>
    </row>
    <row r="78" spans="13:14" x14ac:dyDescent="0.2">
      <c r="M78" s="67">
        <v>29</v>
      </c>
      <c r="N78" s="67">
        <v>2</v>
      </c>
    </row>
    <row r="79" spans="13:14" x14ac:dyDescent="0.2">
      <c r="M79" s="67">
        <v>30</v>
      </c>
      <c r="N79" s="67">
        <v>2</v>
      </c>
    </row>
    <row r="80" spans="13:14" x14ac:dyDescent="0.2">
      <c r="M80" s="67">
        <v>31</v>
      </c>
      <c r="N80" s="67">
        <v>2</v>
      </c>
    </row>
    <row r="81" spans="13:14" x14ac:dyDescent="0.2">
      <c r="M81" s="67">
        <v>32</v>
      </c>
      <c r="N81" s="67">
        <v>2</v>
      </c>
    </row>
    <row r="82" spans="13:14" x14ac:dyDescent="0.2">
      <c r="M82" s="67">
        <v>33</v>
      </c>
      <c r="N82" s="67">
        <v>1</v>
      </c>
    </row>
    <row r="83" spans="13:14" x14ac:dyDescent="0.2">
      <c r="M83" s="67">
        <v>34</v>
      </c>
      <c r="N83" s="67">
        <v>1</v>
      </c>
    </row>
    <row r="84" spans="13:14" x14ac:dyDescent="0.2">
      <c r="M84" s="67">
        <v>35</v>
      </c>
      <c r="N84" s="67">
        <v>2</v>
      </c>
    </row>
    <row r="85" spans="13:14" x14ac:dyDescent="0.2">
      <c r="M85" s="67">
        <v>36</v>
      </c>
      <c r="N85" s="67">
        <v>2</v>
      </c>
    </row>
    <row r="86" spans="13:14" x14ac:dyDescent="0.2">
      <c r="M86" s="67">
        <v>37</v>
      </c>
      <c r="N86" s="67">
        <v>1</v>
      </c>
    </row>
    <row r="87" spans="13:14" x14ac:dyDescent="0.2">
      <c r="M87" s="67">
        <v>38</v>
      </c>
      <c r="N87" s="67">
        <v>2</v>
      </c>
    </row>
    <row r="88" spans="13:14" x14ac:dyDescent="0.2">
      <c r="M88" s="67">
        <v>39</v>
      </c>
      <c r="N88" s="67">
        <v>2</v>
      </c>
    </row>
    <row r="89" spans="13:14" x14ac:dyDescent="0.2">
      <c r="M89" s="67">
        <v>40</v>
      </c>
      <c r="N89" s="67">
        <v>2</v>
      </c>
    </row>
    <row r="90" spans="13:14" x14ac:dyDescent="0.2">
      <c r="M90" s="67">
        <v>41</v>
      </c>
      <c r="N90" s="67">
        <v>2</v>
      </c>
    </row>
    <row r="91" spans="13:14" x14ac:dyDescent="0.2">
      <c r="M91" s="67">
        <v>42</v>
      </c>
      <c r="N91" s="67">
        <v>2</v>
      </c>
    </row>
    <row r="92" spans="13:14" x14ac:dyDescent="0.2">
      <c r="M92" s="67">
        <v>43</v>
      </c>
      <c r="N92" s="67">
        <v>2</v>
      </c>
    </row>
    <row r="93" spans="13:14" x14ac:dyDescent="0.2">
      <c r="M93" s="67">
        <v>44</v>
      </c>
      <c r="N93" s="67">
        <v>2</v>
      </c>
    </row>
    <row r="94" spans="13:14" x14ac:dyDescent="0.2">
      <c r="M94" s="67">
        <v>45</v>
      </c>
      <c r="N94" s="67">
        <v>2</v>
      </c>
    </row>
    <row r="95" spans="13:14" x14ac:dyDescent="0.2">
      <c r="M95" s="67">
        <v>46</v>
      </c>
      <c r="N95" s="67">
        <v>2</v>
      </c>
    </row>
  </sheetData>
  <sheetProtection algorithmName="SHA-512" hashValue="ksaklYzPKA2ffBHHCDNDHASzvTWGlGfAmh5MJSJBxkaPF+LTC3drCYN47XzyyuBM+HpStSw+PUl8vGKSTQJNHA==" saltValue="b3Q9sC9nBzKN/QqSnk2A+g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B4:Y121"/>
  <sheetViews>
    <sheetView topLeftCell="A88" workbookViewId="0">
      <selection activeCell="L101" sqref="L101"/>
    </sheetView>
  </sheetViews>
  <sheetFormatPr defaultRowHeight="12.75" x14ac:dyDescent="0.2"/>
  <cols>
    <col min="2" max="2" width="3.85546875" bestFit="1" customWidth="1"/>
    <col min="3" max="3" width="73.140625" customWidth="1"/>
    <col min="4" max="5" width="11.5703125" customWidth="1"/>
    <col min="6" max="7" width="16.28515625" customWidth="1"/>
    <col min="8" max="11" width="10.28515625" customWidth="1"/>
  </cols>
  <sheetData>
    <row r="4" spans="2:25" ht="18" x14ac:dyDescent="0.25">
      <c r="B4" s="395" t="s">
        <v>112</v>
      </c>
      <c r="C4" s="395"/>
      <c r="D4" s="395"/>
      <c r="E4" s="395"/>
      <c r="F4" s="395"/>
      <c r="G4" s="395"/>
      <c r="M4" t="str">
        <f>IF($K4="","",IF(OR($K4="J № 1",$K4="J № 2",$K4="J № 2L",$K4="J № 2R"),#REF!*Наименования!$J5*Прайс!$D$43,IF(OR($K4="J № 3",$K4="J № 4",$K4="J № 5",$K4="J № 6",$K4="J № 7"),Наименования!$J$7*Прайс!$D$44,IF(OR($K4="J № 3L",$K4="J № 3R",$K4="J № 4L",$K4="J № 4R",$K4="J № 5L",$K4="J № 5R"),#REF!/2*Прайс!$D$43*$E4,IF($K4="45 град.",#REF!*Прайс!$D$42*$E4,0)))))</f>
        <v/>
      </c>
      <c r="Y4" t="e">
        <f>IF($G4="Гладкий",IF(OR($C4=0,$C4=""),0,IF(AND(OR($T4="Перли",$T4="Металік",$T4="Перл.зол.",$T4="Перл.ср.",$T4="Перл.зол.",$T4="Зор.н.ср.",$T4="Зор.н.зол.",$T4="Зор.н.різн.",$T4="Гума"),$F4=19),$AG4*Прайс!$E$12,IF(AND(OR($T4="",$T4=0),$V4="Матове",$F4=19),$AG4*Прайс!$E$10,IF(AND(OR($T4="",$T4=0),$V4="Глянець",$F4=19),$AG4*Прайс!$E$11,IF(AND(OR($T4="",$T4=0),$V4="Софт(TS)",$F4=19),$AG4*Прайс!#REF!,0))))),0)+IF($G4="Гладкий",0,IF(AND(OR($T4="Перли",$T4="Металік",$T4="Перл.зол.",$T4="Перл.ср.",$T4="Перл.зол.",$T4="Зор.н.ср.",$T4="Зор.н.зол.",$T4="Зор.н.різн.",$T4="Гума"),$F4=19,#REF!=1),Просчет!$AI4*Прайс!$F$76,IF(AND(OR($T4="",$T4=0),$V4="Матове",$F4=19,#REF!=1),Просчет!$AI4*Прайс!$F$73,IF(AND(OR($T4="",$T4=0),$V4="Глянець",$F4=19,#REF!=1),Просчет!$AI4*Прайс!$F$75,IF(AND(OR($T4="",$T4=0),$G4="Софт(TS)",$F4=19,#REF!=1),$AG4*Прайс!$F$74,IF(AND(OR($T4="",$T4=0),$V4="Матове покриття з патиною",$F4=19,#REF!=1),$AG4*Прайс!$F$77,IF(AND(OR($T4="",$T4=0),$V4="Глянцеве покриття з патиною",$F4=19,#REF!=1),$AG4*Прайс!$F$78,IF(AND(OR($T4="",$T4=0),$V4="Матовий DECAPE",$F4=19,#REF!=1),$AG4*Прайс!$F$79,IF(AND(OR($T4="",$T4=0),$V4="Глянцевий DECAPE",$F4=19,#REF!=1),$AG4*Прайс!$F$80,0)))))))))+IF($G4="Гладкий",0,IF(AND(OR($T4="Перли",$T4="Металік",$T4="Перл.зол.",$T4="Перл.ср.",$T4="Перл.зол.",$T4="Зор.н.ср.",$T4="Зор.н.зол.",$T4="Зор.н.різн.",$T4="Гума"),$F4=19,#REF!=2),$AG4*Прайс!$G$76,IF(AND(OR($T4="",$T4=0),$V4="Матове",$F4=19,#REF!=2),Просчет!$AI4*Прайс!$G$73,IF(AND(OR($T4="",$T4=0),$V4="Глянець",$F4=19,#REF!=2),$AG4*Прайс!$G$75,IF(AND(OR($T4="",$T4=0),$V4="Софт(TS)",$F4=19,#REF!=2),$AG4*Прайс!$G$74,IF(AND(OR($T4="",$T4=0),$V4="Матове покриття з патиною",$F4=19,#REF!=2),$AG4*Прайс!$G$77,IF(AND(OR($T4="",$T4=0),$V4="Глянцеве покриття з патиною",$F4=19,#REF!=2),$AG4*Прайс!$G$78,IF(AND(OR($T4="",$T4=0),$V4="Матовий DECAPE",$F4=19,#REF!=2),$AG4*Прайс!$G$79,IF(AND(OR($T4="",$T4=0),$V4="Глянцевий DECAPE",$F4=19,#REF!=2),$AG4*Прайс!$G$78,0)))))))))+IF(AND($Q4=1,OR(#REF!=1,#REF!=0),$V4=Наименование!$L$12,$F4=19),$AG4*Прайс!$F$89,IF(AND($Q4=1,OR(#REF!=1,#REF!=0),$V4=Наименование!$L$13,$F4=19),$AG4*Прайс!$F$90,IF(AND($Q4=1,OR(#REF!=1,#REF!=0),$V4=Наименование!$L14,$F4=19),$AG4*Прайс!$F$91,IF(AND($Q4=1,OR(#REF!=1,#REF!=0),$V4=Наименование!$L$15,$F4=19),$AG4*Прайс!$F$92,0))))+IF(AND($Q4=1,#REF!=2,$V4=Наименование!$L$12,$F4=19),$AG4*Прайс!$G$89,IF(AND($Q4=1,#REF!=2,$V4=Наименование!$L$13,$F4=19),$AG4*Прайс!$G$90,IF(AND($Q4=1,#REF!=2,$V4=Наименование!$L$14,$F4=19),$AG4*Прайс!$G$91,IF(AND($Q4=1,#REF!=2,$V4=Наименование!$L$15,$F4=19),$AG4*Прайс!$E$92))))</f>
        <v>#REF!</v>
      </c>
    </row>
    <row r="5" spans="2:25" ht="18" x14ac:dyDescent="0.25">
      <c r="B5" s="395" t="s">
        <v>113</v>
      </c>
      <c r="C5" s="395"/>
      <c r="D5" s="395"/>
      <c r="E5" s="395"/>
      <c r="F5" s="395"/>
      <c r="G5" s="395"/>
    </row>
    <row r="6" spans="2:25" x14ac:dyDescent="0.2">
      <c r="B6" s="2"/>
      <c r="C6" s="2"/>
      <c r="D6" s="2"/>
      <c r="E6" s="2"/>
      <c r="F6" s="2"/>
      <c r="G6" s="2"/>
    </row>
    <row r="7" spans="2:25" x14ac:dyDescent="0.2">
      <c r="B7" s="2"/>
      <c r="C7" s="22" t="s">
        <v>114</v>
      </c>
      <c r="D7" s="2"/>
      <c r="E7" s="2"/>
      <c r="F7" s="2"/>
      <c r="G7" s="68">
        <v>44875</v>
      </c>
    </row>
    <row r="8" spans="2:25" x14ac:dyDescent="0.2">
      <c r="B8" s="2"/>
      <c r="C8" s="2"/>
      <c r="D8" s="2"/>
      <c r="E8" s="2"/>
      <c r="F8" s="2"/>
      <c r="G8" s="2"/>
    </row>
    <row r="9" spans="2:25" ht="51" x14ac:dyDescent="0.2">
      <c r="B9" s="72"/>
      <c r="C9" s="74" t="s">
        <v>115</v>
      </c>
      <c r="D9" s="77" t="s">
        <v>116</v>
      </c>
      <c r="E9" s="77" t="s">
        <v>117</v>
      </c>
      <c r="F9" s="77" t="s">
        <v>118</v>
      </c>
      <c r="G9" s="77" t="s">
        <v>119</v>
      </c>
    </row>
    <row r="10" spans="2:25" ht="14.25" x14ac:dyDescent="0.2">
      <c r="B10" s="284">
        <v>1</v>
      </c>
      <c r="C10" s="285" t="s">
        <v>543</v>
      </c>
      <c r="D10" s="281">
        <v>2550</v>
      </c>
      <c r="E10" s="281">
        <v>2620</v>
      </c>
      <c r="F10" s="281">
        <v>4370</v>
      </c>
      <c r="G10" s="281">
        <v>4440</v>
      </c>
    </row>
    <row r="11" spans="2:25" ht="14.25" x14ac:dyDescent="0.2">
      <c r="B11" s="284">
        <v>2</v>
      </c>
      <c r="C11" s="285" t="s">
        <v>120</v>
      </c>
      <c r="D11" s="281">
        <v>2550</v>
      </c>
      <c r="E11" s="281">
        <v>2620</v>
      </c>
      <c r="F11" s="281">
        <v>4370</v>
      </c>
      <c r="G11" s="281">
        <v>4440</v>
      </c>
    </row>
    <row r="12" spans="2:25" ht="14.25" x14ac:dyDescent="0.2">
      <c r="B12" s="73">
        <v>3</v>
      </c>
      <c r="C12" s="120" t="s">
        <v>544</v>
      </c>
      <c r="D12" s="281">
        <v>3040</v>
      </c>
      <c r="E12" s="281">
        <v>3110</v>
      </c>
      <c r="F12" s="281">
        <v>4860</v>
      </c>
      <c r="G12" s="281">
        <v>4930</v>
      </c>
    </row>
    <row r="13" spans="2:25" ht="14.25" x14ac:dyDescent="0.2">
      <c r="B13" s="73">
        <v>5</v>
      </c>
      <c r="C13" s="116" t="s">
        <v>545</v>
      </c>
      <c r="D13" s="282">
        <v>3250</v>
      </c>
      <c r="E13" s="282">
        <v>3320</v>
      </c>
      <c r="F13" s="282">
        <v>5070</v>
      </c>
      <c r="G13" s="282">
        <v>5140</v>
      </c>
    </row>
    <row r="14" spans="2:25" ht="14.25" x14ac:dyDescent="0.2">
      <c r="B14" s="73">
        <v>6</v>
      </c>
      <c r="C14" s="116" t="s">
        <v>546</v>
      </c>
      <c r="D14" s="282">
        <v>3110</v>
      </c>
      <c r="E14" s="282">
        <v>3180</v>
      </c>
      <c r="F14" s="282">
        <v>4930</v>
      </c>
      <c r="G14" s="282">
        <v>5000</v>
      </c>
    </row>
    <row r="15" spans="2:25" ht="14.25" x14ac:dyDescent="0.2">
      <c r="B15" s="71">
        <v>7</v>
      </c>
      <c r="C15" s="120" t="s">
        <v>547</v>
      </c>
      <c r="D15" s="282">
        <v>3810</v>
      </c>
      <c r="E15" s="282">
        <v>3880</v>
      </c>
      <c r="F15" s="282">
        <v>5630</v>
      </c>
      <c r="G15" s="282">
        <v>5700</v>
      </c>
    </row>
    <row r="16" spans="2:25" ht="14.25" x14ac:dyDescent="0.2">
      <c r="B16" s="73">
        <v>8</v>
      </c>
      <c r="C16" s="120" t="s">
        <v>548</v>
      </c>
      <c r="D16" s="282">
        <v>3390</v>
      </c>
      <c r="E16" s="282">
        <v>3460</v>
      </c>
      <c r="F16" s="282">
        <v>5280</v>
      </c>
      <c r="G16" s="282">
        <v>5350</v>
      </c>
    </row>
    <row r="17" spans="2:7" ht="14.25" x14ac:dyDescent="0.2">
      <c r="B17" s="71">
        <v>9</v>
      </c>
      <c r="C17" s="120" t="s">
        <v>549</v>
      </c>
      <c r="D17" s="282">
        <v>3530</v>
      </c>
      <c r="E17" s="282">
        <v>3600</v>
      </c>
      <c r="F17" s="282">
        <v>5420</v>
      </c>
      <c r="G17" s="282">
        <v>5490</v>
      </c>
    </row>
    <row r="18" spans="2:7" ht="14.25" x14ac:dyDescent="0.2">
      <c r="B18" s="73">
        <v>10</v>
      </c>
      <c r="C18" s="120" t="s">
        <v>550</v>
      </c>
      <c r="D18" s="282">
        <v>3740</v>
      </c>
      <c r="E18" s="282">
        <v>3810</v>
      </c>
      <c r="F18" s="282">
        <v>5630</v>
      </c>
      <c r="G18" s="282">
        <v>5700</v>
      </c>
    </row>
    <row r="19" spans="2:7" ht="14.25" x14ac:dyDescent="0.2">
      <c r="B19" s="71">
        <v>11</v>
      </c>
      <c r="C19" s="120" t="s">
        <v>551</v>
      </c>
      <c r="D19" s="282">
        <v>4580</v>
      </c>
      <c r="E19" s="282">
        <v>4650</v>
      </c>
      <c r="F19" s="282">
        <v>6470</v>
      </c>
      <c r="G19" s="282">
        <v>6540</v>
      </c>
    </row>
    <row r="20" spans="2:7" ht="14.25" x14ac:dyDescent="0.2">
      <c r="B20" s="73">
        <v>12</v>
      </c>
      <c r="C20" s="120" t="s">
        <v>552</v>
      </c>
      <c r="D20" s="282">
        <v>5140</v>
      </c>
      <c r="E20" s="282">
        <v>5210</v>
      </c>
      <c r="F20" s="282">
        <v>7030</v>
      </c>
      <c r="G20" s="282">
        <v>7100</v>
      </c>
    </row>
    <row r="21" spans="2:7" ht="14.25" x14ac:dyDescent="0.2">
      <c r="B21" s="71">
        <v>13</v>
      </c>
      <c r="C21" s="120" t="s">
        <v>553</v>
      </c>
      <c r="D21" s="283">
        <v>5910</v>
      </c>
      <c r="E21" s="283">
        <v>5980</v>
      </c>
      <c r="F21" s="283" t="s">
        <v>370</v>
      </c>
      <c r="G21" s="283" t="s">
        <v>370</v>
      </c>
    </row>
    <row r="22" spans="2:7" x14ac:dyDescent="0.2">
      <c r="B22" s="161"/>
      <c r="C22" s="2"/>
      <c r="D22" s="65"/>
      <c r="E22" s="65"/>
      <c r="F22" s="65"/>
      <c r="G22" s="65"/>
    </row>
    <row r="23" spans="2:7" x14ac:dyDescent="0.2">
      <c r="B23" s="161"/>
      <c r="C23" s="2"/>
      <c r="D23" s="65"/>
      <c r="E23" s="65"/>
      <c r="F23" s="65"/>
      <c r="G23" s="65"/>
    </row>
    <row r="24" spans="2:7" x14ac:dyDescent="0.2">
      <c r="B24" s="2"/>
      <c r="C24" s="70" t="s">
        <v>121</v>
      </c>
      <c r="D24" s="2"/>
      <c r="E24" s="2"/>
      <c r="F24" s="2"/>
      <c r="G24" s="2"/>
    </row>
    <row r="25" spans="2:7" x14ac:dyDescent="0.2">
      <c r="B25" s="69" t="s">
        <v>122</v>
      </c>
      <c r="C25" s="22" t="s">
        <v>123</v>
      </c>
      <c r="D25" s="2"/>
      <c r="E25" s="2"/>
      <c r="F25" s="2"/>
      <c r="G25" s="2"/>
    </row>
    <row r="26" spans="2:7" x14ac:dyDescent="0.2">
      <c r="B26" s="69" t="s">
        <v>124</v>
      </c>
      <c r="C26" s="22" t="s">
        <v>125</v>
      </c>
      <c r="D26" s="2"/>
      <c r="E26" s="2"/>
      <c r="F26" s="2"/>
      <c r="G26" s="2"/>
    </row>
    <row r="27" spans="2:7" x14ac:dyDescent="0.2">
      <c r="B27" s="69" t="s">
        <v>126</v>
      </c>
      <c r="C27" s="22" t="s">
        <v>127</v>
      </c>
      <c r="D27" s="2"/>
      <c r="E27" s="2"/>
      <c r="F27" s="2"/>
      <c r="G27" s="2"/>
    </row>
    <row r="28" spans="2:7" x14ac:dyDescent="0.2">
      <c r="B28" s="69" t="s">
        <v>128</v>
      </c>
      <c r="C28" s="22" t="s">
        <v>129</v>
      </c>
      <c r="D28" s="2"/>
      <c r="E28" s="2"/>
      <c r="F28" s="2"/>
      <c r="G28" s="2"/>
    </row>
    <row r="29" spans="2:7" x14ac:dyDescent="0.2">
      <c r="B29" s="69" t="s">
        <v>130</v>
      </c>
      <c r="C29" s="22" t="s">
        <v>131</v>
      </c>
      <c r="D29" s="2"/>
      <c r="E29" s="2"/>
      <c r="F29" s="2"/>
      <c r="G29" s="2"/>
    </row>
    <row r="30" spans="2:7" x14ac:dyDescent="0.2">
      <c r="B30" s="69" t="s">
        <v>132</v>
      </c>
      <c r="C30" s="22" t="s">
        <v>133</v>
      </c>
      <c r="D30" s="2"/>
      <c r="E30" s="2"/>
      <c r="F30" s="2"/>
      <c r="G30" s="2"/>
    </row>
    <row r="31" spans="2:7" x14ac:dyDescent="0.2">
      <c r="B31" s="69" t="s">
        <v>134</v>
      </c>
      <c r="C31" s="22" t="s">
        <v>135</v>
      </c>
      <c r="D31" s="2"/>
      <c r="E31" s="2"/>
      <c r="F31" s="2"/>
      <c r="G31" s="2"/>
    </row>
    <row r="32" spans="2:7" x14ac:dyDescent="0.2">
      <c r="B32" s="2"/>
      <c r="C32" s="2"/>
      <c r="D32" s="2"/>
      <c r="E32" s="2"/>
      <c r="F32" s="2"/>
      <c r="G32" s="2"/>
    </row>
    <row r="33" spans="2:7" ht="15.75" x14ac:dyDescent="0.25">
      <c r="B33" s="394" t="s">
        <v>136</v>
      </c>
      <c r="C33" s="394"/>
      <c r="D33" s="394"/>
      <c r="E33" s="394"/>
      <c r="F33" s="394"/>
      <c r="G33" s="394"/>
    </row>
    <row r="34" spans="2:7" x14ac:dyDescent="0.2">
      <c r="B34" s="71">
        <v>1</v>
      </c>
      <c r="C34" s="72" t="s">
        <v>137</v>
      </c>
      <c r="D34" s="77">
        <v>-500</v>
      </c>
      <c r="E34" t="s">
        <v>167</v>
      </c>
      <c r="F34" s="2"/>
      <c r="G34" s="2"/>
    </row>
    <row r="35" spans="2:7" x14ac:dyDescent="0.2">
      <c r="B35" s="71">
        <v>2</v>
      </c>
      <c r="C35" s="72" t="s">
        <v>138</v>
      </c>
      <c r="D35" s="77">
        <v>-500</v>
      </c>
      <c r="E35" t="s">
        <v>167</v>
      </c>
      <c r="F35" s="2"/>
      <c r="G35" s="2"/>
    </row>
    <row r="36" spans="2:7" x14ac:dyDescent="0.2">
      <c r="B36" s="71">
        <v>3</v>
      </c>
      <c r="C36" s="72" t="s">
        <v>139</v>
      </c>
      <c r="D36" s="77">
        <v>160</v>
      </c>
      <c r="E36" t="s">
        <v>21</v>
      </c>
      <c r="F36" s="2"/>
      <c r="G36" s="2"/>
    </row>
    <row r="37" spans="2:7" s="22" customFormat="1" ht="25.5" x14ac:dyDescent="0.2">
      <c r="B37" s="73">
        <v>4</v>
      </c>
      <c r="C37" s="74" t="s">
        <v>140</v>
      </c>
      <c r="D37" s="77">
        <v>450</v>
      </c>
      <c r="E37" s="53" t="s">
        <v>168</v>
      </c>
      <c r="F37" s="77">
        <v>500</v>
      </c>
      <c r="G37" s="53" t="s">
        <v>169</v>
      </c>
    </row>
    <row r="38" spans="2:7" x14ac:dyDescent="0.2">
      <c r="B38" s="71">
        <v>5</v>
      </c>
      <c r="C38" s="72" t="s">
        <v>141</v>
      </c>
      <c r="D38" s="77">
        <v>300</v>
      </c>
      <c r="E38" t="s">
        <v>170</v>
      </c>
      <c r="F38" s="2"/>
      <c r="G38" s="2"/>
    </row>
    <row r="39" spans="2:7" x14ac:dyDescent="0.2">
      <c r="B39" s="71">
        <v>6</v>
      </c>
      <c r="C39" s="72" t="s">
        <v>142</v>
      </c>
      <c r="D39" s="77">
        <v>55</v>
      </c>
      <c r="E39" t="s">
        <v>170</v>
      </c>
      <c r="F39" s="2"/>
      <c r="G39" s="2"/>
    </row>
    <row r="40" spans="2:7" x14ac:dyDescent="0.2">
      <c r="B40" s="71">
        <v>7</v>
      </c>
      <c r="C40" s="72" t="s">
        <v>143</v>
      </c>
      <c r="D40" s="77">
        <v>600</v>
      </c>
      <c r="E40" t="s">
        <v>170</v>
      </c>
      <c r="F40" s="2"/>
      <c r="G40" s="2"/>
    </row>
    <row r="41" spans="2:7" x14ac:dyDescent="0.2">
      <c r="B41" s="71">
        <v>8</v>
      </c>
      <c r="C41" s="72" t="s">
        <v>144</v>
      </c>
      <c r="D41" s="77">
        <v>120</v>
      </c>
      <c r="E41" t="s">
        <v>170</v>
      </c>
      <c r="F41" s="2"/>
      <c r="G41" s="2"/>
    </row>
    <row r="42" spans="2:7" x14ac:dyDescent="0.2">
      <c r="B42" s="71">
        <v>9</v>
      </c>
      <c r="C42" s="72" t="s">
        <v>145</v>
      </c>
      <c r="D42" s="77">
        <v>190</v>
      </c>
      <c r="E42" t="s">
        <v>171</v>
      </c>
      <c r="F42" s="2"/>
      <c r="G42" s="2"/>
    </row>
    <row r="43" spans="2:7" x14ac:dyDescent="0.2">
      <c r="B43" s="71">
        <v>10</v>
      </c>
      <c r="C43" s="72" t="s">
        <v>146</v>
      </c>
      <c r="D43" s="77">
        <v>200</v>
      </c>
      <c r="E43" t="s">
        <v>171</v>
      </c>
      <c r="F43" s="2"/>
      <c r="G43" s="2"/>
    </row>
    <row r="44" spans="2:7" x14ac:dyDescent="0.2">
      <c r="B44" s="71">
        <v>11</v>
      </c>
      <c r="C44" s="72" t="s">
        <v>147</v>
      </c>
      <c r="D44" s="77">
        <v>200</v>
      </c>
      <c r="E44" t="s">
        <v>170</v>
      </c>
      <c r="F44" s="2"/>
      <c r="G44" s="2"/>
    </row>
    <row r="45" spans="2:7" x14ac:dyDescent="0.2">
      <c r="B45" s="71">
        <v>12</v>
      </c>
      <c r="C45" s="72" t="s">
        <v>148</v>
      </c>
      <c r="D45" s="77">
        <v>500</v>
      </c>
      <c r="E45" t="s">
        <v>170</v>
      </c>
      <c r="F45" s="2"/>
      <c r="G45" s="2"/>
    </row>
    <row r="46" spans="2:7" x14ac:dyDescent="0.2">
      <c r="B46" s="71">
        <v>13</v>
      </c>
      <c r="C46" s="72" t="s">
        <v>149</v>
      </c>
      <c r="D46" s="77">
        <v>25</v>
      </c>
      <c r="E46" t="s">
        <v>172</v>
      </c>
      <c r="F46" s="2"/>
      <c r="G46" s="2"/>
    </row>
    <row r="47" spans="2:7" x14ac:dyDescent="0.2">
      <c r="B47" s="71">
        <v>14</v>
      </c>
      <c r="C47" s="72" t="s">
        <v>150</v>
      </c>
      <c r="D47" s="77">
        <v>280</v>
      </c>
      <c r="E47" t="s">
        <v>170</v>
      </c>
      <c r="F47" s="2"/>
      <c r="G47" s="2"/>
    </row>
    <row r="48" spans="2:7" x14ac:dyDescent="0.2">
      <c r="B48" s="71">
        <v>15</v>
      </c>
      <c r="C48" s="72" t="s">
        <v>151</v>
      </c>
      <c r="D48" s="77">
        <v>600</v>
      </c>
      <c r="E48" t="s">
        <v>170</v>
      </c>
      <c r="F48" s="2"/>
      <c r="G48" s="2"/>
    </row>
    <row r="49" spans="2:25" ht="25.5" x14ac:dyDescent="0.2">
      <c r="B49" s="71">
        <v>16</v>
      </c>
      <c r="C49" s="74" t="s">
        <v>152</v>
      </c>
      <c r="D49" s="77">
        <v>700</v>
      </c>
      <c r="E49" s="81" t="s">
        <v>173</v>
      </c>
      <c r="F49" s="65"/>
      <c r="G49" s="53"/>
    </row>
    <row r="50" spans="2:25" x14ac:dyDescent="0.2">
      <c r="B50" s="71">
        <v>17</v>
      </c>
      <c r="C50" s="72" t="s">
        <v>153</v>
      </c>
      <c r="D50" s="78">
        <v>0.25</v>
      </c>
      <c r="E50" t="s">
        <v>174</v>
      </c>
      <c r="F50" s="2"/>
      <c r="G50" s="2"/>
    </row>
    <row r="51" spans="2:25" x14ac:dyDescent="0.2">
      <c r="B51" s="71">
        <v>18</v>
      </c>
      <c r="C51" s="72" t="s">
        <v>176</v>
      </c>
      <c r="D51" s="77">
        <v>50</v>
      </c>
      <c r="E51" t="s">
        <v>179</v>
      </c>
      <c r="F51" s="2"/>
      <c r="G51" s="2"/>
    </row>
    <row r="52" spans="2:25" x14ac:dyDescent="0.2">
      <c r="B52" s="71">
        <v>19</v>
      </c>
      <c r="C52" s="72" t="s">
        <v>177</v>
      </c>
      <c r="D52" s="77">
        <v>75</v>
      </c>
      <c r="E52" t="s">
        <v>179</v>
      </c>
      <c r="F52" s="2"/>
      <c r="G52" s="2"/>
    </row>
    <row r="53" spans="2:25" x14ac:dyDescent="0.2">
      <c r="B53" s="71">
        <v>20</v>
      </c>
      <c r="C53" s="72" t="s">
        <v>178</v>
      </c>
      <c r="D53" s="77">
        <v>140</v>
      </c>
      <c r="E53" t="s">
        <v>179</v>
      </c>
      <c r="F53" s="2"/>
      <c r="G53" s="2"/>
    </row>
    <row r="54" spans="2:25" x14ac:dyDescent="0.2">
      <c r="B54" s="71">
        <v>21</v>
      </c>
      <c r="C54" s="74" t="s">
        <v>154</v>
      </c>
      <c r="D54" s="77">
        <v>110</v>
      </c>
      <c r="E54" t="s">
        <v>179</v>
      </c>
      <c r="F54" s="53"/>
      <c r="G54" s="53"/>
    </row>
    <row r="55" spans="2:25" x14ac:dyDescent="0.2">
      <c r="B55" s="71">
        <v>22</v>
      </c>
      <c r="C55" s="74" t="s">
        <v>180</v>
      </c>
      <c r="D55" s="77">
        <v>190</v>
      </c>
      <c r="E55" t="s">
        <v>171</v>
      </c>
      <c r="F55" s="53"/>
      <c r="G55" s="53"/>
    </row>
    <row r="56" spans="2:25" x14ac:dyDescent="0.2">
      <c r="B56" s="71">
        <v>23</v>
      </c>
      <c r="C56" s="72" t="s">
        <v>155</v>
      </c>
      <c r="D56" s="77">
        <v>220</v>
      </c>
      <c r="E56" t="s">
        <v>181</v>
      </c>
      <c r="F56" s="53"/>
      <c r="G56" s="53"/>
    </row>
    <row r="57" spans="2:25" x14ac:dyDescent="0.2">
      <c r="B57" s="71">
        <v>24</v>
      </c>
      <c r="C57" s="72" t="s">
        <v>156</v>
      </c>
      <c r="D57" s="77">
        <v>380</v>
      </c>
      <c r="E57" t="s">
        <v>170</v>
      </c>
      <c r="F57" s="53"/>
      <c r="G57" s="53"/>
    </row>
    <row r="58" spans="2:25" x14ac:dyDescent="0.2">
      <c r="B58" s="71">
        <v>25</v>
      </c>
      <c r="C58" s="74" t="s">
        <v>157</v>
      </c>
      <c r="D58" s="77">
        <v>570</v>
      </c>
      <c r="E58" t="s">
        <v>21</v>
      </c>
      <c r="F58" s="53"/>
      <c r="G58" s="53"/>
    </row>
    <row r="59" spans="2:25" x14ac:dyDescent="0.2">
      <c r="B59" s="71">
        <v>26</v>
      </c>
      <c r="C59" s="74" t="s">
        <v>158</v>
      </c>
      <c r="D59" s="77">
        <v>315</v>
      </c>
      <c r="E59" t="s">
        <v>179</v>
      </c>
      <c r="F59" s="53"/>
      <c r="G59" s="53"/>
    </row>
    <row r="60" spans="2:25" x14ac:dyDescent="0.2">
      <c r="B60" s="71">
        <v>27</v>
      </c>
      <c r="C60" s="74" t="s">
        <v>159</v>
      </c>
      <c r="D60" s="77">
        <v>150</v>
      </c>
      <c r="E60" t="s">
        <v>21</v>
      </c>
      <c r="F60" s="53"/>
      <c r="G60" s="53"/>
    </row>
    <row r="61" spans="2:25" ht="12.75" customHeight="1" x14ac:dyDescent="0.2">
      <c r="B61" s="71">
        <v>28</v>
      </c>
      <c r="C61" s="75" t="s">
        <v>160</v>
      </c>
      <c r="D61" s="79">
        <v>0.5</v>
      </c>
      <c r="E61" t="s">
        <v>174</v>
      </c>
      <c r="F61" s="2"/>
      <c r="G61" s="2"/>
      <c r="Y61" t="e">
        <f>IF($G61="Гладкий",IF(OR($C61=0,$C61=""),0,IF(AND(OR($T61="Перли",$T61="Металік",$T61="Перл.зол.",$T61="Перл.ср.",$T61="Перл.зол.",$T61="Зор.н.ср.",$T61="Зор.н.зол.",$T61="Зор.н.різн.",$T61="Гума"),$F61=19),$AG61*Прайс!$G$12,IF(AND(OR($T61="",$T61=0),$V61="Матове",$F61=19),$AG61*Прайс!$G$10,IF(AND(OR($T61="",$T61=0),$V61="Глянець",$F61=19),$AG61*Прайс!$G$11,IF(AND(OR($T61="",$T61=0),$V61="Софт(TS)",$F61=19),$AG61*Прайс!#REF!,0))))),0)+IF($G61="Гладкий",0,IF(AND(OR($T61="Перли",$T61="Металік",$T61="Перл.зол.",$T61="Перл.ср.",$T61="Перл.зол.",$T61="Зор.н.ср.",$T61="Зор.н.зол.",$T61="Зор.н.різн.",$T61="Гума"),$F61=19,$G61=1),$AG61*Прайс!$J$76,IF(AND(OR($T61="",$T61=0),$V61="Матове",$F61=19,$G61=1),$AG61*Прайс!$J$73,IF(AND(OR($T61="",$T61=0),$V61="Глянець",$F61=19,$G61=1),$AG61*Прайс!$J$75,IF(AND(OR($T61="",$T61=0),$V61="Софт(TS)",$F61=19,$G61=1),$AG61*Прайс!$J$74,IF(AND(OR($T61="",$T61=0),$V61="Матове покриття з патиною",$F61=19,$G61=1),$AG61*Прайс!$J$77,IF(AND(OR($T61="",$T61=0),$V61="Глянцеве покриття з патиною",$F61=19,$G61=1),$AG61*Прайс!$J$78,IF(AND(OR($T61="",$T61=0),$V61="Матовий DECAPE",$F61=19,$G61=1),$AG61*Прайс!$J$79,IF(AND(OR($T61="",$T61=0),$V61="Глянцевий DECAPE",$F61=19,$G61=1),$AG61*Прайс!$J$80,0)))))))))+IF($G61="Гладкий",0,IF(AND(OR($T61="Перли",$T61="Металік",$T61="Перл.зол.",$T61="Перл.ср.",$T61="Перл.зол.",$T61="Зор.н.ср.",$T61="Зор.н.зол.",$T61="Зор.н.різн.",$T61="Гума"),$F61=19,$G61=2),$AG61*Прайс!$K$76,IF(AND(OR($T61="",$T61=0),$V61="Матове",$F61=19,$G61=2),$AG61*Прайс!$K$73,IF(AND(OR($T61="",$T61=0),$V61="Глянець",$F61=19,$G61=2),$AG61*Прайс!$K$75,IF(AND(OR($T61="",$T61=0),$V61="Софт(TS)",$F61=19,$G61=2),$AG61*Прайс!$K$74,IF(AND(OR($T61="",$T61=0),$V61="Матове покриття з патиною",$F61=19,$G61=2),$AG61*Прайс!$K$77,IF(AND(OR($T61="",$T61=0),$V61="Глянцеве покриття з патиною",$F61=19,$G61=2),$AG61*Прайс!$K$78,IF(AND(OR($T61="",$T61=0),$V61="Матовий DECAPE",$F61=19,$G61=2),$AG61*Прайс!$K$79,IF(AND(OR($T61="",$T61=0),$V61="Глянцевий DECAPE",$F61=19,$G61=2),$AG61*Прайс!$K$80,0)))))))))+IF(AND($Q61=1,OR($G61=1,$G61=0),$V61=[1]Наименования!$L$12,$F61=19),[1]Просчет!$AH56*[1]Прайс!$F$74,IF(AND($Q61=1,OR($G61=1,#REF!=0),$V61=[1]Наименования!$L$13,$F61=19),[1]Просчет!$AH56*[1]Прайс!$F$75,IF(AND($Q61=1,OR(#REF!=1,#REF!=0),$V61=[1]Наименования!$L$14,$F61=19),[1]Просчет!$AH56*[1]Прайс!$F$76,IF(AND($Q61=1,OR(#REF!=1,#REF!=0),$V61=[1]Наименования!$L$15,$F61=19),[1]Просчет!$AH56*[1]Прайс!$F$77,0))))+IF(OR($T61="",$T61=0),IF(AND($Q61=1,#REF!=2,$V61=[1]Наименования!$L$12,$F61=19),[1]Просчет!$AH56*[1]Прайс!$G$74,IF(AND($Q61=1,#REF!=2,$V61=[1]Наименования!$L$13,$F61=19),[1]Просчет!$AH56*[1]Прайс!$G$75,IF(AND($Q61=1,#REF!=2,$V61=[1]Наименования!$L$14,$F61=19),[1]Просчет!$AH56*[1]Прайс!$G$76,IF(AND($Q61=1,#REF!=2,$V61=[1]Наименования!$L$15,$F61=19),[1]Просчет!$AH56*[1]Прайс!$G$77,0)))))</f>
        <v>#REF!</v>
      </c>
    </row>
    <row r="62" spans="2:25" x14ac:dyDescent="0.2">
      <c r="B62" s="71">
        <v>29</v>
      </c>
      <c r="C62" s="76" t="s">
        <v>161</v>
      </c>
      <c r="D62" s="80">
        <v>620</v>
      </c>
      <c r="E62" t="s">
        <v>175</v>
      </c>
      <c r="F62" s="2"/>
      <c r="G62" s="2"/>
    </row>
    <row r="63" spans="2:25" x14ac:dyDescent="0.2">
      <c r="B63" s="71">
        <v>30</v>
      </c>
      <c r="C63" s="76" t="s">
        <v>162</v>
      </c>
      <c r="D63" s="80">
        <v>255</v>
      </c>
      <c r="E63" t="s">
        <v>175</v>
      </c>
      <c r="F63" s="2"/>
      <c r="G63" s="2"/>
    </row>
    <row r="64" spans="2:25" x14ac:dyDescent="0.2">
      <c r="B64" s="2"/>
      <c r="C64" s="22" t="s">
        <v>163</v>
      </c>
      <c r="D64" s="2"/>
      <c r="E64" s="2"/>
      <c r="F64" s="2"/>
      <c r="G64" s="2"/>
    </row>
    <row r="65" spans="2:11" ht="15.75" x14ac:dyDescent="0.2">
      <c r="B65" s="2"/>
      <c r="C65" s="22" t="s">
        <v>164</v>
      </c>
      <c r="D65" s="2"/>
      <c r="E65" s="2"/>
      <c r="F65" s="2"/>
      <c r="G65" s="2"/>
    </row>
    <row r="66" spans="2:11" ht="15.75" x14ac:dyDescent="0.2">
      <c r="B66" s="2"/>
      <c r="C66" s="22" t="s">
        <v>165</v>
      </c>
      <c r="D66" s="2"/>
      <c r="E66" s="2"/>
      <c r="F66" s="2"/>
      <c r="G66" s="2"/>
    </row>
    <row r="67" spans="2:11" ht="25.5" customHeight="1" x14ac:dyDescent="0.2">
      <c r="B67" s="2"/>
      <c r="C67" s="2" t="s">
        <v>166</v>
      </c>
      <c r="D67" s="2"/>
      <c r="E67" s="2"/>
      <c r="F67" s="2"/>
      <c r="G67" s="2"/>
    </row>
    <row r="71" spans="2:11" ht="57" customHeight="1" x14ac:dyDescent="0.2">
      <c r="B71" s="72"/>
      <c r="C71" s="116" t="s">
        <v>279</v>
      </c>
      <c r="D71" s="396" t="s">
        <v>280</v>
      </c>
      <c r="E71" s="396"/>
      <c r="F71" s="396" t="s">
        <v>281</v>
      </c>
      <c r="G71" s="396"/>
      <c r="H71" s="396" t="s">
        <v>282</v>
      </c>
      <c r="I71" s="396"/>
      <c r="J71" s="396" t="s">
        <v>283</v>
      </c>
      <c r="K71" s="396"/>
    </row>
    <row r="72" spans="2:11" ht="14.25" x14ac:dyDescent="0.2">
      <c r="B72" s="72"/>
      <c r="C72" s="72"/>
      <c r="D72" s="117" t="s">
        <v>284</v>
      </c>
      <c r="E72" s="117" t="s">
        <v>285</v>
      </c>
      <c r="F72" s="117" t="s">
        <v>284</v>
      </c>
      <c r="G72" s="117" t="s">
        <v>285</v>
      </c>
      <c r="H72" s="117" t="s">
        <v>284</v>
      </c>
      <c r="I72" s="117" t="s">
        <v>285</v>
      </c>
      <c r="J72" s="117" t="s">
        <v>284</v>
      </c>
      <c r="K72" s="117" t="s">
        <v>285</v>
      </c>
    </row>
    <row r="73" spans="2:11" ht="14.25" x14ac:dyDescent="0.2">
      <c r="B73" s="286">
        <v>1</v>
      </c>
      <c r="C73" s="72" t="s">
        <v>679</v>
      </c>
      <c r="D73" s="283">
        <v>3810</v>
      </c>
      <c r="E73" s="283">
        <v>4230</v>
      </c>
      <c r="F73" s="283">
        <v>3880</v>
      </c>
      <c r="G73" s="283">
        <v>4300</v>
      </c>
      <c r="H73" s="283">
        <v>5910</v>
      </c>
      <c r="I73" s="283">
        <v>6330</v>
      </c>
      <c r="J73" s="283">
        <v>5980</v>
      </c>
      <c r="K73" s="283">
        <v>6400</v>
      </c>
    </row>
    <row r="74" spans="2:11" ht="14.25" x14ac:dyDescent="0.2">
      <c r="B74" s="286">
        <v>2</v>
      </c>
      <c r="C74" s="72" t="s">
        <v>120</v>
      </c>
      <c r="D74" s="283">
        <v>3860</v>
      </c>
      <c r="E74" s="283">
        <v>4280</v>
      </c>
      <c r="F74" s="283">
        <v>3930</v>
      </c>
      <c r="G74" s="283">
        <v>4350</v>
      </c>
      <c r="H74" s="283">
        <v>5960</v>
      </c>
      <c r="I74" s="283">
        <v>6380</v>
      </c>
      <c r="J74" s="283">
        <v>6030</v>
      </c>
      <c r="K74" s="283">
        <v>6450</v>
      </c>
    </row>
    <row r="75" spans="2:11" ht="14.25" x14ac:dyDescent="0.2">
      <c r="B75" s="286">
        <v>3</v>
      </c>
      <c r="C75" s="72" t="s">
        <v>544</v>
      </c>
      <c r="D75" s="283">
        <v>4370</v>
      </c>
      <c r="E75" s="283">
        <v>4790</v>
      </c>
      <c r="F75" s="283">
        <v>4440</v>
      </c>
      <c r="G75" s="283">
        <v>4860</v>
      </c>
      <c r="H75" s="283">
        <v>6470</v>
      </c>
      <c r="I75" s="283">
        <v>6890</v>
      </c>
      <c r="J75" s="283">
        <v>6540</v>
      </c>
      <c r="K75" s="283">
        <v>6960</v>
      </c>
    </row>
    <row r="76" spans="2:11" ht="14.25" x14ac:dyDescent="0.2">
      <c r="B76" s="287">
        <v>4</v>
      </c>
      <c r="C76" s="120" t="s">
        <v>545</v>
      </c>
      <c r="D76" s="282">
        <v>4510</v>
      </c>
      <c r="E76" s="282">
        <v>4930</v>
      </c>
      <c r="F76" s="282">
        <v>4580</v>
      </c>
      <c r="G76" s="282">
        <v>5000</v>
      </c>
      <c r="H76" s="282">
        <v>6610</v>
      </c>
      <c r="I76" s="282">
        <v>7030</v>
      </c>
      <c r="J76" s="282">
        <v>6680</v>
      </c>
      <c r="K76" s="282">
        <v>7100</v>
      </c>
    </row>
    <row r="77" spans="2:11" ht="14.25" x14ac:dyDescent="0.2">
      <c r="B77" s="286">
        <v>5</v>
      </c>
      <c r="C77" s="72" t="s">
        <v>546</v>
      </c>
      <c r="D77" s="282">
        <v>4510</v>
      </c>
      <c r="E77" s="282">
        <v>4930</v>
      </c>
      <c r="F77" s="282">
        <v>4580</v>
      </c>
      <c r="G77" s="282">
        <v>5000</v>
      </c>
      <c r="H77" s="282">
        <v>6610</v>
      </c>
      <c r="I77" s="282">
        <v>7030</v>
      </c>
      <c r="J77" s="282">
        <v>6680</v>
      </c>
      <c r="K77" s="282">
        <v>7100</v>
      </c>
    </row>
    <row r="78" spans="2:11" ht="14.25" x14ac:dyDescent="0.2">
      <c r="B78" s="286">
        <v>6</v>
      </c>
      <c r="C78" s="72" t="s">
        <v>547</v>
      </c>
      <c r="D78" s="282">
        <v>4650</v>
      </c>
      <c r="E78" s="282">
        <v>5070</v>
      </c>
      <c r="F78" s="282">
        <v>4720</v>
      </c>
      <c r="G78" s="282">
        <v>5140</v>
      </c>
      <c r="H78" s="282">
        <v>6750</v>
      </c>
      <c r="I78" s="282">
        <v>7170</v>
      </c>
      <c r="J78" s="282">
        <v>6820</v>
      </c>
      <c r="K78" s="282">
        <v>7240</v>
      </c>
    </row>
    <row r="79" spans="2:11" ht="14.25" x14ac:dyDescent="0.2">
      <c r="B79" s="286">
        <v>7</v>
      </c>
      <c r="C79" s="72" t="s">
        <v>548</v>
      </c>
      <c r="D79" s="282">
        <v>4650</v>
      </c>
      <c r="E79" s="282">
        <v>5070</v>
      </c>
      <c r="F79" s="282">
        <v>4720</v>
      </c>
      <c r="G79" s="282">
        <v>5140</v>
      </c>
      <c r="H79" s="282">
        <v>6750</v>
      </c>
      <c r="I79" s="282">
        <v>7170</v>
      </c>
      <c r="J79" s="282">
        <v>6820</v>
      </c>
      <c r="K79" s="282">
        <v>7240</v>
      </c>
    </row>
    <row r="80" spans="2:11" ht="14.25" x14ac:dyDescent="0.2">
      <c r="B80" s="286">
        <v>8</v>
      </c>
      <c r="C80" s="72" t="s">
        <v>549</v>
      </c>
      <c r="D80" s="282">
        <v>4790</v>
      </c>
      <c r="E80" s="282">
        <v>5210</v>
      </c>
      <c r="F80" s="282">
        <v>4860</v>
      </c>
      <c r="G80" s="282">
        <v>5280</v>
      </c>
      <c r="H80" s="282">
        <v>6890</v>
      </c>
      <c r="I80" s="282">
        <v>7310</v>
      </c>
      <c r="J80" s="282">
        <v>6960</v>
      </c>
      <c r="K80" s="282">
        <v>7380</v>
      </c>
    </row>
    <row r="81" spans="2:13" ht="14.25" x14ac:dyDescent="0.2">
      <c r="B81" s="286">
        <v>9</v>
      </c>
      <c r="C81" s="72" t="s">
        <v>550</v>
      </c>
      <c r="D81" s="282">
        <v>4930</v>
      </c>
      <c r="E81" s="282">
        <v>5350</v>
      </c>
      <c r="F81" s="282">
        <v>5000</v>
      </c>
      <c r="G81" s="282">
        <v>5420</v>
      </c>
      <c r="H81" s="282">
        <v>7030</v>
      </c>
      <c r="I81" s="282">
        <v>7450</v>
      </c>
      <c r="J81" s="282">
        <v>7100</v>
      </c>
      <c r="K81" s="282">
        <v>7520</v>
      </c>
    </row>
    <row r="82" spans="2:13" ht="14.25" x14ac:dyDescent="0.2">
      <c r="B82" s="286">
        <v>10</v>
      </c>
      <c r="C82" s="72" t="s">
        <v>286</v>
      </c>
      <c r="D82" s="283">
        <v>4230</v>
      </c>
      <c r="E82" s="283">
        <v>4650</v>
      </c>
      <c r="F82" s="283">
        <v>4300</v>
      </c>
      <c r="G82" s="283">
        <v>4720</v>
      </c>
      <c r="H82" s="283">
        <v>6330</v>
      </c>
      <c r="I82" s="283">
        <v>6750</v>
      </c>
      <c r="J82" s="283">
        <v>6400</v>
      </c>
      <c r="K82" s="283">
        <v>6820</v>
      </c>
    </row>
    <row r="83" spans="2:13" ht="14.25" x14ac:dyDescent="0.2">
      <c r="B83" s="286">
        <v>11</v>
      </c>
      <c r="C83" s="72" t="s">
        <v>287</v>
      </c>
      <c r="D83" s="283">
        <v>4720</v>
      </c>
      <c r="E83" s="283">
        <v>5140</v>
      </c>
      <c r="F83" s="283">
        <v>4790</v>
      </c>
      <c r="G83" s="283">
        <v>5210</v>
      </c>
      <c r="H83" s="283">
        <v>6820</v>
      </c>
      <c r="I83" s="283">
        <v>7240</v>
      </c>
      <c r="J83" s="283">
        <v>6890</v>
      </c>
      <c r="K83" s="283">
        <v>7310</v>
      </c>
    </row>
    <row r="84" spans="2:13" ht="14.25" x14ac:dyDescent="0.2">
      <c r="B84" s="286">
        <v>12</v>
      </c>
      <c r="C84" s="72" t="s">
        <v>652</v>
      </c>
      <c r="D84" s="283">
        <v>4370</v>
      </c>
      <c r="E84" s="283">
        <v>4790</v>
      </c>
      <c r="F84" s="283">
        <v>4440</v>
      </c>
      <c r="G84" s="283">
        <v>4860</v>
      </c>
      <c r="H84" s="283">
        <v>6470</v>
      </c>
      <c r="I84" s="283">
        <v>6890</v>
      </c>
      <c r="J84" s="283">
        <v>6540</v>
      </c>
      <c r="K84" s="283">
        <v>6960</v>
      </c>
    </row>
    <row r="85" spans="2:13" ht="14.25" x14ac:dyDescent="0.2">
      <c r="B85" s="286">
        <v>13</v>
      </c>
      <c r="C85" s="72" t="s">
        <v>653</v>
      </c>
      <c r="D85" s="283">
        <v>5350</v>
      </c>
      <c r="E85" s="283">
        <v>5770</v>
      </c>
      <c r="F85" s="283">
        <v>5420</v>
      </c>
      <c r="G85" s="283">
        <v>5840</v>
      </c>
      <c r="H85" s="283">
        <v>7450</v>
      </c>
      <c r="I85" s="283">
        <v>7870</v>
      </c>
      <c r="J85" s="283">
        <v>7520</v>
      </c>
      <c r="K85" s="283">
        <v>7940</v>
      </c>
    </row>
    <row r="86" spans="2:13" x14ac:dyDescent="0.2"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2:13" ht="57" customHeight="1" x14ac:dyDescent="0.2">
      <c r="B87" s="72"/>
      <c r="C87" s="116" t="s">
        <v>288</v>
      </c>
      <c r="D87" s="396" t="s">
        <v>280</v>
      </c>
      <c r="E87" s="396"/>
      <c r="F87" s="396" t="s">
        <v>281</v>
      </c>
      <c r="G87" s="396"/>
      <c r="H87" s="396" t="s">
        <v>282</v>
      </c>
      <c r="I87" s="396"/>
      <c r="J87" s="396" t="s">
        <v>283</v>
      </c>
      <c r="K87" s="396"/>
    </row>
    <row r="88" spans="2:13" ht="14.25" x14ac:dyDescent="0.2">
      <c r="B88" s="72"/>
      <c r="C88" s="72"/>
      <c r="D88" s="117" t="s">
        <v>284</v>
      </c>
      <c r="E88" s="117" t="s">
        <v>285</v>
      </c>
      <c r="F88" s="117" t="s">
        <v>284</v>
      </c>
      <c r="G88" s="117" t="s">
        <v>285</v>
      </c>
      <c r="H88" s="117" t="s">
        <v>284</v>
      </c>
      <c r="I88" s="117" t="s">
        <v>285</v>
      </c>
      <c r="J88" s="117" t="s">
        <v>284</v>
      </c>
      <c r="K88" s="117" t="s">
        <v>285</v>
      </c>
    </row>
    <row r="89" spans="2:13" ht="15" x14ac:dyDescent="0.2">
      <c r="B89" s="119">
        <v>1</v>
      </c>
      <c r="C89" s="99" t="s">
        <v>340</v>
      </c>
      <c r="D89" s="282">
        <v>7670</v>
      </c>
      <c r="E89" s="282">
        <v>9020</v>
      </c>
      <c r="F89" s="282">
        <v>7740</v>
      </c>
      <c r="G89" s="282">
        <v>9090</v>
      </c>
      <c r="H89" s="282">
        <v>11480</v>
      </c>
      <c r="I89" s="282">
        <v>12830</v>
      </c>
      <c r="J89" s="282">
        <v>11550</v>
      </c>
      <c r="K89" s="282">
        <v>12900</v>
      </c>
    </row>
    <row r="90" spans="2:13" ht="15" x14ac:dyDescent="0.2">
      <c r="B90" s="119">
        <v>2</v>
      </c>
      <c r="C90" s="99" t="s">
        <v>339</v>
      </c>
      <c r="D90" s="332">
        <v>7180</v>
      </c>
      <c r="E90" s="332">
        <v>8530</v>
      </c>
      <c r="F90" s="332">
        <v>7250</v>
      </c>
      <c r="G90" s="332">
        <v>8600</v>
      </c>
      <c r="H90" s="332">
        <v>10990</v>
      </c>
      <c r="I90" s="332">
        <v>12340</v>
      </c>
      <c r="J90" s="332">
        <v>11060</v>
      </c>
      <c r="K90" s="332">
        <v>12410</v>
      </c>
    </row>
    <row r="91" spans="2:13" ht="15" x14ac:dyDescent="0.2">
      <c r="B91" s="118">
        <v>3</v>
      </c>
      <c r="C91" s="99" t="s">
        <v>338</v>
      </c>
      <c r="D91" s="282">
        <v>6010</v>
      </c>
      <c r="E91" s="282">
        <v>7360</v>
      </c>
      <c r="F91" s="282">
        <v>6080</v>
      </c>
      <c r="G91" s="282">
        <v>7430</v>
      </c>
      <c r="H91" s="282">
        <v>9820</v>
      </c>
      <c r="I91" s="282">
        <v>11170</v>
      </c>
      <c r="J91" s="282">
        <v>9890</v>
      </c>
      <c r="K91" s="282">
        <v>11240</v>
      </c>
    </row>
    <row r="92" spans="2:13" ht="15" x14ac:dyDescent="0.2">
      <c r="B92" s="119">
        <v>4</v>
      </c>
      <c r="C92" s="99" t="s">
        <v>337</v>
      </c>
      <c r="D92" s="282">
        <v>6460</v>
      </c>
      <c r="E92" s="282">
        <v>7810</v>
      </c>
      <c r="F92" s="282">
        <v>6530</v>
      </c>
      <c r="G92" s="282">
        <v>7880</v>
      </c>
      <c r="H92" s="282">
        <v>10270</v>
      </c>
      <c r="I92" s="282">
        <v>11620</v>
      </c>
      <c r="J92" s="282">
        <v>10340</v>
      </c>
      <c r="K92" s="282">
        <v>11690</v>
      </c>
    </row>
    <row r="93" spans="2:13" x14ac:dyDescent="0.2">
      <c r="B93" s="2"/>
      <c r="C93" s="2" t="s">
        <v>289</v>
      </c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2:13" x14ac:dyDescent="0.2">
      <c r="B94" s="69" t="s">
        <v>122</v>
      </c>
      <c r="C94" s="22" t="s">
        <v>290</v>
      </c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2:13" x14ac:dyDescent="0.2">
      <c r="B95" s="69" t="s">
        <v>124</v>
      </c>
      <c r="C95" s="22" t="s">
        <v>291</v>
      </c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2:13" x14ac:dyDescent="0.2">
      <c r="B96" s="392" t="s">
        <v>292</v>
      </c>
      <c r="C96" s="392"/>
      <c r="D96" s="392"/>
      <c r="E96" s="392"/>
      <c r="F96" s="392"/>
      <c r="G96" s="392"/>
      <c r="H96" s="392"/>
      <c r="I96" s="392"/>
      <c r="J96" s="392"/>
      <c r="K96" s="392"/>
      <c r="L96" s="392"/>
      <c r="M96" s="392"/>
    </row>
    <row r="97" spans="2:13" x14ac:dyDescent="0.2">
      <c r="B97" s="69" t="s">
        <v>126</v>
      </c>
      <c r="C97" s="22" t="s">
        <v>293</v>
      </c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2:13" x14ac:dyDescent="0.2">
      <c r="B98" s="69" t="s">
        <v>128</v>
      </c>
      <c r="C98" s="22" t="s">
        <v>125</v>
      </c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2:13" x14ac:dyDescent="0.2">
      <c r="B99" s="69" t="s">
        <v>130</v>
      </c>
      <c r="C99" s="22" t="s">
        <v>294</v>
      </c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2:13" x14ac:dyDescent="0.2">
      <c r="B100" s="69" t="s">
        <v>132</v>
      </c>
      <c r="C100" s="22" t="s">
        <v>295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2:13" x14ac:dyDescent="0.2">
      <c r="B101" s="69" t="s">
        <v>134</v>
      </c>
      <c r="C101" s="22" t="s">
        <v>296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2:13" x14ac:dyDescent="0.2">
      <c r="B102" s="69" t="s">
        <v>297</v>
      </c>
      <c r="C102" s="22" t="s">
        <v>298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2:13" ht="12" customHeight="1" x14ac:dyDescent="0.2">
      <c r="B103" s="393" t="s">
        <v>136</v>
      </c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</row>
    <row r="104" spans="2:13" ht="38.25" x14ac:dyDescent="0.2">
      <c r="B104" s="73">
        <v>1</v>
      </c>
      <c r="C104" s="74" t="s">
        <v>299</v>
      </c>
      <c r="D104" s="74" t="s">
        <v>300</v>
      </c>
    </row>
    <row r="105" spans="2:13" ht="51" x14ac:dyDescent="0.2">
      <c r="B105" s="73">
        <v>2</v>
      </c>
      <c r="C105" s="74" t="s">
        <v>301</v>
      </c>
      <c r="D105" s="74" t="s">
        <v>302</v>
      </c>
    </row>
    <row r="106" spans="2:13" x14ac:dyDescent="0.2">
      <c r="B106" s="73">
        <v>3</v>
      </c>
      <c r="C106" s="74" t="s">
        <v>303</v>
      </c>
      <c r="D106" s="74">
        <v>160</v>
      </c>
      <c r="E106" t="s">
        <v>21</v>
      </c>
    </row>
    <row r="107" spans="2:13" ht="51" x14ac:dyDescent="0.2">
      <c r="B107" s="73">
        <v>4</v>
      </c>
      <c r="C107" s="74" t="s">
        <v>304</v>
      </c>
      <c r="D107" s="74" t="s">
        <v>554</v>
      </c>
      <c r="E107" s="2" t="s">
        <v>329</v>
      </c>
      <c r="F107">
        <v>500</v>
      </c>
      <c r="G107" s="2" t="s">
        <v>330</v>
      </c>
    </row>
    <row r="108" spans="2:13" x14ac:dyDescent="0.2">
      <c r="B108" s="73">
        <v>5</v>
      </c>
      <c r="C108" s="74" t="s">
        <v>305</v>
      </c>
      <c r="D108" s="74">
        <v>300</v>
      </c>
      <c r="E108" t="s">
        <v>170</v>
      </c>
    </row>
    <row r="109" spans="2:13" x14ac:dyDescent="0.2">
      <c r="B109" s="73">
        <v>6</v>
      </c>
      <c r="C109" s="74" t="s">
        <v>142</v>
      </c>
      <c r="D109" s="121">
        <v>55</v>
      </c>
      <c r="E109" t="s">
        <v>170</v>
      </c>
    </row>
    <row r="110" spans="2:13" x14ac:dyDescent="0.2">
      <c r="B110" s="73">
        <v>7</v>
      </c>
      <c r="C110" s="74" t="s">
        <v>306</v>
      </c>
      <c r="D110" s="74">
        <v>600</v>
      </c>
      <c r="E110" t="s">
        <v>331</v>
      </c>
    </row>
    <row r="111" spans="2:13" x14ac:dyDescent="0.2">
      <c r="B111" s="73">
        <v>8</v>
      </c>
      <c r="C111" s="74" t="s">
        <v>149</v>
      </c>
      <c r="D111" s="74">
        <v>25</v>
      </c>
      <c r="E111" t="s">
        <v>172</v>
      </c>
    </row>
    <row r="112" spans="2:13" x14ac:dyDescent="0.2">
      <c r="B112" s="73">
        <v>9</v>
      </c>
      <c r="C112" s="74" t="s">
        <v>307</v>
      </c>
      <c r="D112" s="122">
        <v>250</v>
      </c>
      <c r="E112" t="s">
        <v>170</v>
      </c>
    </row>
    <row r="113" spans="2:7" ht="25.5" x14ac:dyDescent="0.2">
      <c r="B113" s="73">
        <v>10</v>
      </c>
      <c r="C113" s="74" t="s">
        <v>308</v>
      </c>
      <c r="D113" s="122" t="s">
        <v>332</v>
      </c>
      <c r="E113" t="s">
        <v>333</v>
      </c>
    </row>
    <row r="114" spans="2:7" ht="38.25" x14ac:dyDescent="0.2">
      <c r="B114" s="73">
        <v>11</v>
      </c>
      <c r="C114" s="74" t="s">
        <v>309</v>
      </c>
      <c r="D114" s="74" t="s">
        <v>310</v>
      </c>
    </row>
    <row r="115" spans="2:7" x14ac:dyDescent="0.2">
      <c r="B115" s="73">
        <v>12</v>
      </c>
      <c r="C115" s="74" t="s">
        <v>151</v>
      </c>
      <c r="D115" s="74">
        <v>600</v>
      </c>
      <c r="E115" t="s">
        <v>170</v>
      </c>
    </row>
    <row r="116" spans="2:7" ht="38.25" x14ac:dyDescent="0.2">
      <c r="B116" s="73">
        <v>13</v>
      </c>
      <c r="C116" s="74" t="s">
        <v>311</v>
      </c>
      <c r="D116" s="74">
        <v>110</v>
      </c>
      <c r="E116" s="2" t="s">
        <v>334</v>
      </c>
      <c r="F116">
        <v>190</v>
      </c>
      <c r="G116" t="s">
        <v>179</v>
      </c>
    </row>
    <row r="117" spans="2:7" x14ac:dyDescent="0.2">
      <c r="B117" s="73">
        <v>14</v>
      </c>
      <c r="C117" s="123" t="s">
        <v>312</v>
      </c>
      <c r="D117" s="74">
        <v>50</v>
      </c>
      <c r="E117">
        <v>75</v>
      </c>
      <c r="F117">
        <v>140</v>
      </c>
      <c r="G117" t="s">
        <v>179</v>
      </c>
    </row>
    <row r="118" spans="2:7" x14ac:dyDescent="0.2">
      <c r="B118" s="73">
        <v>15</v>
      </c>
      <c r="C118" s="74" t="s">
        <v>313</v>
      </c>
      <c r="D118" s="74">
        <v>115</v>
      </c>
      <c r="E118" t="s">
        <v>21</v>
      </c>
    </row>
    <row r="119" spans="2:7" x14ac:dyDescent="0.2">
      <c r="B119" s="73">
        <v>16</v>
      </c>
      <c r="C119" s="76" t="s">
        <v>160</v>
      </c>
      <c r="D119" s="124">
        <v>0.5</v>
      </c>
      <c r="E119" t="s">
        <v>336</v>
      </c>
    </row>
    <row r="120" spans="2:7" x14ac:dyDescent="0.2">
      <c r="B120" s="73" t="s">
        <v>314</v>
      </c>
      <c r="C120" s="76" t="s">
        <v>161</v>
      </c>
      <c r="D120" s="75">
        <v>620</v>
      </c>
      <c r="E120" t="s">
        <v>335</v>
      </c>
    </row>
    <row r="121" spans="2:7" x14ac:dyDescent="0.2">
      <c r="B121" s="73" t="s">
        <v>315</v>
      </c>
      <c r="C121" s="76" t="s">
        <v>162</v>
      </c>
      <c r="D121" s="75">
        <v>255</v>
      </c>
      <c r="E121" t="s">
        <v>335</v>
      </c>
    </row>
  </sheetData>
  <sheetProtection algorithmName="SHA-512" hashValue="XkILXLs15al+qfw99nR/t81ez5yzE1XwIQujLJa2K9NKEOe4wARQG6Qktt6LR8aCfP3tB3K75Bmbm6tu9y+w5A==" saltValue="4gZ22A4Rt7z2afyr0aMHVQ==" spinCount="100000" sheet="1" objects="1" scenarios="1"/>
  <mergeCells count="13">
    <mergeCell ref="B96:M96"/>
    <mergeCell ref="B103:M103"/>
    <mergeCell ref="B33:G33"/>
    <mergeCell ref="B4:G4"/>
    <mergeCell ref="B5:G5"/>
    <mergeCell ref="H87:I87"/>
    <mergeCell ref="J87:K87"/>
    <mergeCell ref="H71:I71"/>
    <mergeCell ref="J71:K71"/>
    <mergeCell ref="D71:E71"/>
    <mergeCell ref="F71:G71"/>
    <mergeCell ref="D87:E87"/>
    <mergeCell ref="F87:G8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11</vt:i4>
      </vt:variant>
    </vt:vector>
  </HeadingPairs>
  <TitlesOfParts>
    <vt:vector size="20" baseType="lpstr">
      <vt:lpstr>Бланк</vt:lpstr>
      <vt:lpstr>Просчет</vt:lpstr>
      <vt:lpstr>Лист1</vt:lpstr>
      <vt:lpstr>Рахунок</vt:lpstr>
      <vt:lpstr>Материал МДФ</vt:lpstr>
      <vt:lpstr>Заявка на краску</vt:lpstr>
      <vt:lpstr>Наименования</vt:lpstr>
      <vt:lpstr>Наименование</vt:lpstr>
      <vt:lpstr>Прайс</vt:lpstr>
      <vt:lpstr>вісім</vt:lpstr>
      <vt:lpstr>Девятнадцять</vt:lpstr>
      <vt:lpstr>десять</vt:lpstr>
      <vt:lpstr>Бланк!Область_печати</vt:lpstr>
      <vt:lpstr>Объем</vt:lpstr>
      <vt:lpstr>Ручка</vt:lpstr>
      <vt:lpstr>Товщина</vt:lpstr>
      <vt:lpstr>Цвет</vt:lpstr>
      <vt:lpstr>чотири</vt:lpstr>
      <vt:lpstr>шістнадцять</vt:lpstr>
      <vt:lpstr>шість</vt:lpstr>
    </vt:vector>
  </TitlesOfParts>
  <Manager>Шацилло Кирилл Олегович</Manager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Бланк заказа с автоматическим просчетом стоимости</dc:title>
  <dc:creator>Home</dc:creator>
  <cp:lastModifiedBy>I5-PC</cp:lastModifiedBy>
  <cp:lastPrinted>2023-05-16T13:58:53Z</cp:lastPrinted>
  <dcterms:created xsi:type="dcterms:W3CDTF">2015-03-06T18:50:38Z</dcterms:created>
  <dcterms:modified xsi:type="dcterms:W3CDTF">2025-02-05T09:54:06Z</dcterms:modified>
</cp:coreProperties>
</file>