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ЭтаКнига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WIN-IO2LFKCPL2A\All\Для клиентов\Бланк замовлення\Бланки с просчётом стоимости от 01.08.24\"/>
    </mc:Choice>
  </mc:AlternateContent>
  <xr:revisionPtr revIDLastSave="0" documentId="13_ncr:1_{A4330EB3-3406-405C-B947-CC9562ADE124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Бланк" sheetId="1" r:id="rId1"/>
    <sheet name="Просчет" sheetId="4" state="hidden" r:id="rId2"/>
    <sheet name="Рахунок" sheetId="5" r:id="rId3"/>
    <sheet name="Материал МДФ" sheetId="6" state="hidden" r:id="rId4"/>
    <sheet name="Заявка на краску" sheetId="7" state="hidden" r:id="rId5"/>
    <sheet name="Лист1" sheetId="8" state="hidden" r:id="rId6"/>
    <sheet name="Наименования" sheetId="2" state="hidden" r:id="rId7"/>
    <sheet name="Прайс" sheetId="3" state="hidden" r:id="rId8"/>
  </sheets>
  <definedNames>
    <definedName name="_xlnm._FilterDatabase" localSheetId="0" hidden="1">Бланк!$R$86:$AB$126</definedName>
    <definedName name="_xlnm._FilterDatabase" localSheetId="2" hidden="1">Рахунок!$L$20:$L$113</definedName>
    <definedName name="вісім">Наименования!$E$32</definedName>
    <definedName name="Девятнадцять">Наименования!$H$32:$H$47</definedName>
    <definedName name="десять">Наименования!$F$32</definedName>
    <definedName name="_xlnm.Print_Area" localSheetId="0">Бланк!$B$1:$AI$126</definedName>
    <definedName name="Объем">'Заявка на краску'!$F$35:$F$79</definedName>
    <definedName name="Ручка">Наименования!$H$2:$H$5+Лист1!$H$5:$H$25</definedName>
    <definedName name="Товщина">Наименования!$C$31:$H$31</definedName>
    <definedName name="Цвет">'Заявка на краску'!$C$35:$C$79</definedName>
    <definedName name="чотири">Наименования!$C$32</definedName>
    <definedName name="шістнадцять">Наименования!$G$32</definedName>
    <definedName name="шість">Наименования!$D$32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9" i="5" l="1"/>
  <c r="J30" i="5"/>
  <c r="J31" i="5"/>
  <c r="J32" i="5"/>
  <c r="J33" i="5"/>
  <c r="J34" i="5"/>
  <c r="J35" i="5"/>
  <c r="J36" i="5"/>
  <c r="J37" i="5"/>
  <c r="J38" i="5"/>
  <c r="J39" i="5"/>
  <c r="J40" i="5"/>
  <c r="L40" i="5" s="1"/>
  <c r="J41" i="5"/>
  <c r="J42" i="5"/>
  <c r="J43" i="5"/>
  <c r="J44" i="5"/>
  <c r="L44" i="5" s="1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L68" i="5" s="1"/>
  <c r="J69" i="5"/>
  <c r="L69" i="5" s="1"/>
  <c r="J70" i="5"/>
  <c r="L70" i="5" s="1"/>
  <c r="J71" i="5"/>
  <c r="J72" i="5"/>
  <c r="J73" i="5"/>
  <c r="L73" i="5" s="1"/>
  <c r="J74" i="5"/>
  <c r="L74" i="5" s="1"/>
  <c r="J75" i="5"/>
  <c r="J76" i="5"/>
  <c r="J77" i="5"/>
  <c r="J78" i="5"/>
  <c r="J79" i="5"/>
  <c r="J80" i="5"/>
  <c r="L80" i="5" s="1"/>
  <c r="J81" i="5"/>
  <c r="L81" i="5" s="1"/>
  <c r="J82" i="5"/>
  <c r="L82" i="5" s="1"/>
  <c r="J83" i="5"/>
  <c r="J84" i="5"/>
  <c r="J85" i="5"/>
  <c r="L85" i="5" s="1"/>
  <c r="J86" i="5"/>
  <c r="L86" i="5" s="1"/>
  <c r="J87" i="5"/>
  <c r="J88" i="5"/>
  <c r="J89" i="5"/>
  <c r="J90" i="5"/>
  <c r="J91" i="5"/>
  <c r="J92" i="5"/>
  <c r="L92" i="5" s="1"/>
  <c r="J93" i="5"/>
  <c r="L93" i="5" s="1"/>
  <c r="J94" i="5"/>
  <c r="L94" i="5" s="1"/>
  <c r="J95" i="5"/>
  <c r="J96" i="5"/>
  <c r="J97" i="5"/>
  <c r="J98" i="5"/>
  <c r="J99" i="5"/>
  <c r="J100" i="5"/>
  <c r="J101" i="5"/>
  <c r="J102" i="5"/>
  <c r="J103" i="5"/>
  <c r="L103" i="5" s="1"/>
  <c r="J104" i="5"/>
  <c r="J105" i="5"/>
  <c r="J106" i="5"/>
  <c r="J107" i="5"/>
  <c r="J108" i="5"/>
  <c r="J109" i="5"/>
  <c r="J110" i="5"/>
  <c r="J111" i="5"/>
  <c r="J112" i="5"/>
  <c r="J113" i="5"/>
  <c r="J22" i="5"/>
  <c r="J23" i="5"/>
  <c r="J24" i="5"/>
  <c r="J25" i="5"/>
  <c r="J26" i="5"/>
  <c r="J27" i="5"/>
  <c r="J28" i="5"/>
  <c r="J21" i="5"/>
  <c r="L36" i="5"/>
  <c r="L48" i="5"/>
  <c r="L52" i="5"/>
  <c r="L56" i="5"/>
  <c r="L66" i="5"/>
  <c r="L67" i="5"/>
  <c r="L71" i="5"/>
  <c r="L72" i="5"/>
  <c r="L75" i="5"/>
  <c r="L76" i="5"/>
  <c r="L77" i="5"/>
  <c r="L78" i="5"/>
  <c r="L79" i="5"/>
  <c r="L83" i="5"/>
  <c r="L84" i="5"/>
  <c r="L87" i="5"/>
  <c r="L88" i="5"/>
  <c r="L89" i="5"/>
  <c r="L90" i="5"/>
  <c r="L91" i="5"/>
  <c r="L95" i="5"/>
  <c r="L96" i="5"/>
  <c r="L106" i="5"/>
  <c r="L110" i="5"/>
  <c r="L111" i="5"/>
  <c r="L112" i="5"/>
  <c r="L113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C22" i="5"/>
  <c r="B109" i="5" s="1"/>
  <c r="C23" i="5"/>
  <c r="B111" i="5" s="1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B112" i="5" s="1"/>
  <c r="C38" i="5"/>
  <c r="C39" i="5"/>
  <c r="C40" i="5"/>
  <c r="C41" i="5"/>
  <c r="C42" i="5"/>
  <c r="C43" i="5"/>
  <c r="C44" i="5"/>
  <c r="C45" i="5"/>
  <c r="C46" i="5"/>
  <c r="C47" i="5"/>
  <c r="C48" i="5"/>
  <c r="B108" i="5" s="1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B113" i="5"/>
  <c r="M129" i="4"/>
  <c r="M126" i="4"/>
  <c r="M123" i="4"/>
  <c r="M119" i="4"/>
  <c r="M115" i="4"/>
  <c r="M111" i="4"/>
  <c r="M107" i="4"/>
  <c r="M103" i="4"/>
  <c r="M99" i="4"/>
  <c r="M95" i="4"/>
  <c r="M91" i="4"/>
  <c r="M87" i="4"/>
  <c r="K129" i="4"/>
  <c r="N129" i="4" s="1"/>
  <c r="K126" i="4"/>
  <c r="N126" i="4" s="1"/>
  <c r="K123" i="4"/>
  <c r="K119" i="4"/>
  <c r="K115" i="4"/>
  <c r="L51" i="5" s="1"/>
  <c r="K111" i="4"/>
  <c r="K107" i="4"/>
  <c r="K103" i="4"/>
  <c r="N103" i="4" s="1"/>
  <c r="K99" i="4"/>
  <c r="N99" i="4" s="1"/>
  <c r="L43" i="5" l="1"/>
  <c r="L47" i="5"/>
  <c r="L55" i="5"/>
  <c r="L59" i="5"/>
  <c r="N107" i="4"/>
  <c r="L65" i="5"/>
  <c r="N111" i="4"/>
  <c r="N115" i="4"/>
  <c r="L39" i="5"/>
  <c r="N119" i="4"/>
  <c r="L62" i="5"/>
  <c r="N123" i="4"/>
  <c r="L35" i="5"/>
  <c r="B110" i="5"/>
  <c r="B107" i="5"/>
  <c r="AA53" i="4"/>
  <c r="AA54" i="4"/>
  <c r="AA55" i="4"/>
  <c r="AA56" i="4"/>
  <c r="M170" i="4"/>
  <c r="AA4" i="4" l="1"/>
  <c r="AA5" i="4"/>
  <c r="AA6" i="4"/>
  <c r="AA7" i="4"/>
  <c r="AA8" i="4"/>
  <c r="AA9" i="4"/>
  <c r="AA10" i="4"/>
  <c r="AA11" i="4"/>
  <c r="AA12" i="4"/>
  <c r="AA13" i="4"/>
  <c r="AA14" i="4"/>
  <c r="AA15" i="4"/>
  <c r="AA16" i="4"/>
  <c r="AA17" i="4"/>
  <c r="AA18" i="4"/>
  <c r="AA19" i="4"/>
  <c r="AA20" i="4"/>
  <c r="AA21" i="4"/>
  <c r="AA22" i="4"/>
  <c r="AA24" i="4"/>
  <c r="AA25" i="4"/>
  <c r="AA26" i="4"/>
  <c r="AA27" i="4"/>
  <c r="AA28" i="4"/>
  <c r="AA29" i="4"/>
  <c r="AA30" i="4"/>
  <c r="AA31" i="4"/>
  <c r="AA32" i="4"/>
  <c r="AA33" i="4"/>
  <c r="AA34" i="4"/>
  <c r="AA35" i="4"/>
  <c r="AA36" i="4"/>
  <c r="AA37" i="4"/>
  <c r="AA38" i="4"/>
  <c r="AA39" i="4"/>
  <c r="AA40" i="4"/>
  <c r="AA41" i="4"/>
  <c r="AA42" i="4"/>
  <c r="AA43" i="4"/>
  <c r="AA44" i="4"/>
  <c r="AA45" i="4"/>
  <c r="AA46" i="4"/>
  <c r="AA47" i="4"/>
  <c r="M160" i="4"/>
  <c r="M159" i="4"/>
  <c r="M158" i="4"/>
  <c r="M157" i="4"/>
  <c r="M156" i="4"/>
  <c r="M155" i="4"/>
  <c r="M154" i="4"/>
  <c r="M153" i="4"/>
  <c r="M152" i="4"/>
  <c r="M151" i="4"/>
  <c r="M150" i="4"/>
  <c r="M149" i="4"/>
  <c r="M148" i="4"/>
  <c r="M147" i="4"/>
  <c r="M146" i="4"/>
  <c r="M145" i="4"/>
  <c r="M144" i="4"/>
  <c r="M143" i="4"/>
  <c r="M142" i="4"/>
  <c r="M141" i="4"/>
  <c r="M140" i="4"/>
  <c r="M139" i="4"/>
  <c r="M138" i="4"/>
  <c r="M137" i="4"/>
  <c r="M136" i="4"/>
  <c r="M135" i="4"/>
  <c r="M134" i="4"/>
  <c r="M133" i="4"/>
  <c r="M132" i="4"/>
  <c r="M131" i="4"/>
  <c r="M130" i="4"/>
  <c r="M128" i="4"/>
  <c r="M127" i="4"/>
  <c r="M125" i="4"/>
  <c r="M124" i="4"/>
  <c r="M122" i="4"/>
  <c r="M121" i="4"/>
  <c r="M120" i="4"/>
  <c r="M118" i="4"/>
  <c r="M117" i="4"/>
  <c r="M116" i="4"/>
  <c r="M114" i="4"/>
  <c r="M113" i="4"/>
  <c r="M112" i="4"/>
  <c r="M110" i="4"/>
  <c r="M109" i="4"/>
  <c r="M108" i="4"/>
  <c r="M106" i="4"/>
  <c r="M105" i="4"/>
  <c r="M104" i="4"/>
  <c r="M102" i="4"/>
  <c r="M101" i="4"/>
  <c r="M100" i="4"/>
  <c r="M98" i="4"/>
  <c r="M97" i="4"/>
  <c r="M96" i="4"/>
  <c r="M94" i="4"/>
  <c r="M93" i="4"/>
  <c r="M92" i="4"/>
  <c r="M89" i="4"/>
  <c r="M90" i="4"/>
  <c r="M88" i="4"/>
  <c r="M86" i="4"/>
  <c r="M85" i="4"/>
  <c r="D83" i="1" l="1"/>
  <c r="D84" i="1" s="1"/>
  <c r="M173" i="4" l="1"/>
  <c r="E15" i="5" l="1"/>
  <c r="D12" i="5" l="1"/>
  <c r="E18" i="5"/>
  <c r="E17" i="5"/>
  <c r="E16" i="5"/>
  <c r="I21" i="5" l="1"/>
  <c r="C21" i="5"/>
  <c r="B76" i="5" l="1"/>
  <c r="B84" i="5"/>
  <c r="B77" i="5"/>
  <c r="B87" i="5"/>
  <c r="B70" i="5"/>
  <c r="B89" i="5"/>
  <c r="B93" i="5"/>
  <c r="B86" i="5"/>
  <c r="B74" i="5"/>
  <c r="B103" i="5"/>
  <c r="B85" i="5"/>
  <c r="B88" i="5"/>
  <c r="B101" i="5"/>
  <c r="B73" i="5"/>
  <c r="B75" i="5"/>
  <c r="B80" i="5"/>
  <c r="B105" i="5"/>
  <c r="B96" i="5"/>
  <c r="B106" i="5"/>
  <c r="B99" i="5"/>
  <c r="B72" i="5"/>
  <c r="B100" i="5"/>
  <c r="B104" i="5"/>
  <c r="B97" i="5"/>
  <c r="B95" i="5"/>
  <c r="B102" i="5"/>
  <c r="B71" i="5"/>
  <c r="B98" i="5"/>
  <c r="B92" i="5"/>
  <c r="B78" i="5"/>
  <c r="B81" i="5"/>
  <c r="B90" i="5"/>
  <c r="B91" i="5"/>
  <c r="B94" i="5"/>
  <c r="B82" i="5"/>
  <c r="B79" i="5"/>
  <c r="B83" i="5"/>
  <c r="T53" i="4"/>
  <c r="T54" i="4"/>
  <c r="T55" i="4"/>
  <c r="T56" i="4"/>
  <c r="T52" i="4"/>
  <c r="K140" i="4" l="1"/>
  <c r="K148" i="4"/>
  <c r="K146" i="4"/>
  <c r="K145" i="4"/>
  <c r="K155" i="4"/>
  <c r="K154" i="4"/>
  <c r="K152" i="4"/>
  <c r="K151" i="4"/>
  <c r="K139" i="4"/>
  <c r="K149" i="4"/>
  <c r="O159" i="4"/>
  <c r="O157" i="4"/>
  <c r="K159" i="4"/>
  <c r="K157" i="4"/>
  <c r="O160" i="4"/>
  <c r="O158" i="4"/>
  <c r="K160" i="4"/>
  <c r="K158" i="4"/>
  <c r="V5" i="4"/>
  <c r="V6" i="4"/>
  <c r="V7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AA23" i="4" s="1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3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3" i="4"/>
  <c r="T4" i="4"/>
  <c r="T5" i="4"/>
  <c r="T6" i="4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3" i="4"/>
  <c r="M172" i="4"/>
  <c r="M171" i="4"/>
  <c r="M169" i="4"/>
  <c r="M168" i="4"/>
  <c r="M167" i="4"/>
  <c r="M166" i="4"/>
  <c r="M165" i="4"/>
  <c r="M164" i="4"/>
  <c r="M163" i="4"/>
  <c r="M162" i="4"/>
  <c r="M161" i="4"/>
  <c r="AA3" i="4" l="1"/>
  <c r="AA48" i="4" s="1"/>
  <c r="N147" i="4"/>
  <c r="N152" i="4"/>
  <c r="N153" i="4"/>
  <c r="N154" i="4"/>
  <c r="N150" i="4"/>
  <c r="N144" i="4"/>
  <c r="N156" i="4"/>
  <c r="N149" i="4"/>
  <c r="N155" i="4"/>
  <c r="N145" i="4"/>
  <c r="N146" i="4"/>
  <c r="N139" i="4"/>
  <c r="N151" i="4"/>
  <c r="N148" i="4"/>
  <c r="N141" i="4"/>
  <c r="N140" i="4"/>
  <c r="K98" i="4"/>
  <c r="L34" i="5" s="1"/>
  <c r="K97" i="4"/>
  <c r="L33" i="5" s="1"/>
  <c r="K114" i="4"/>
  <c r="L50" i="5" s="1"/>
  <c r="K113" i="4"/>
  <c r="L49" i="5" s="1"/>
  <c r="K102" i="4"/>
  <c r="L38" i="5" s="1"/>
  <c r="K110" i="4"/>
  <c r="L46" i="5" s="1"/>
  <c r="K109" i="4"/>
  <c r="L45" i="5" s="1"/>
  <c r="K106" i="4"/>
  <c r="L42" i="5" s="1"/>
  <c r="K117" i="4"/>
  <c r="L53" i="5" s="1"/>
  <c r="K105" i="4"/>
  <c r="L41" i="5" s="1"/>
  <c r="K101" i="4"/>
  <c r="L37" i="5" s="1"/>
  <c r="N158" i="4"/>
  <c r="N160" i="4"/>
  <c r="N157" i="4"/>
  <c r="N159" i="4"/>
  <c r="O127" i="4"/>
  <c r="O124" i="4"/>
  <c r="O121" i="4"/>
  <c r="O128" i="4"/>
  <c r="O125" i="4"/>
  <c r="O122" i="4"/>
  <c r="K127" i="4"/>
  <c r="L63" i="5" s="1"/>
  <c r="K124" i="4"/>
  <c r="L60" i="5" s="1"/>
  <c r="K121" i="4"/>
  <c r="L57" i="5" s="1"/>
  <c r="K128" i="4"/>
  <c r="L64" i="5" s="1"/>
  <c r="K125" i="4"/>
  <c r="L61" i="5" s="1"/>
  <c r="K122" i="4"/>
  <c r="L58" i="5" s="1"/>
  <c r="O165" i="4"/>
  <c r="O163" i="4"/>
  <c r="O161" i="4"/>
  <c r="K165" i="4"/>
  <c r="L101" i="5" s="1"/>
  <c r="K163" i="4"/>
  <c r="L99" i="5" s="1"/>
  <c r="K162" i="4"/>
  <c r="L98" i="5" s="1"/>
  <c r="K164" i="4"/>
  <c r="L100" i="5" s="1"/>
  <c r="K161" i="4"/>
  <c r="L97" i="5" s="1"/>
  <c r="O166" i="4"/>
  <c r="O164" i="4"/>
  <c r="O162" i="4"/>
  <c r="N113" i="4" l="1"/>
  <c r="N114" i="4"/>
  <c r="N165" i="4"/>
  <c r="N122" i="4"/>
  <c r="N125" i="4"/>
  <c r="N128" i="4"/>
  <c r="N116" i="4"/>
  <c r="N124" i="4"/>
  <c r="N120" i="4"/>
  <c r="N161" i="4"/>
  <c r="N164" i="4"/>
  <c r="N127" i="4"/>
  <c r="N117" i="4"/>
  <c r="N121" i="4"/>
  <c r="N162" i="4"/>
  <c r="N163" i="4"/>
  <c r="K21" i="5"/>
  <c r="J54" i="4" l="1"/>
  <c r="J55" i="4"/>
  <c r="J56" i="4"/>
  <c r="J53" i="4"/>
  <c r="J52" i="4"/>
  <c r="C53" i="4"/>
  <c r="D53" i="4"/>
  <c r="C54" i="4"/>
  <c r="D54" i="4"/>
  <c r="C55" i="4"/>
  <c r="D55" i="4"/>
  <c r="C56" i="4"/>
  <c r="D56" i="4"/>
  <c r="D52" i="4"/>
  <c r="C52" i="4"/>
  <c r="W53" i="4"/>
  <c r="W54" i="4"/>
  <c r="W55" i="4"/>
  <c r="W56" i="4"/>
  <c r="W52" i="4"/>
  <c r="V53" i="4"/>
  <c r="V54" i="4"/>
  <c r="V55" i="4"/>
  <c r="V56" i="4"/>
  <c r="V52" i="4"/>
  <c r="U53" i="4"/>
  <c r="U54" i="4"/>
  <c r="U55" i="4"/>
  <c r="U56" i="4"/>
  <c r="U52" i="4"/>
  <c r="AD53" i="4"/>
  <c r="AE53" i="4"/>
  <c r="AF53" i="4"/>
  <c r="AD54" i="4"/>
  <c r="AE54" i="4"/>
  <c r="AF54" i="4"/>
  <c r="AD55" i="4"/>
  <c r="AE55" i="4"/>
  <c r="AF55" i="4"/>
  <c r="AD56" i="4"/>
  <c r="AE56" i="4"/>
  <c r="AF56" i="4"/>
  <c r="AE52" i="4"/>
  <c r="AF52" i="4"/>
  <c r="AD52" i="4"/>
  <c r="AB53" i="4"/>
  <c r="AB54" i="4"/>
  <c r="AB55" i="4"/>
  <c r="AB56" i="4"/>
  <c r="AB52" i="4"/>
  <c r="R53" i="4"/>
  <c r="S53" i="4"/>
  <c r="R54" i="4"/>
  <c r="S54" i="4"/>
  <c r="R55" i="4"/>
  <c r="S55" i="4"/>
  <c r="R56" i="4"/>
  <c r="S56" i="4"/>
  <c r="S52" i="4"/>
  <c r="R52" i="4"/>
  <c r="Q53" i="4"/>
  <c r="Q54" i="4"/>
  <c r="Q55" i="4"/>
  <c r="Q56" i="4"/>
  <c r="Q52" i="4"/>
  <c r="K53" i="4"/>
  <c r="L53" i="4"/>
  <c r="M53" i="4"/>
  <c r="K54" i="4"/>
  <c r="L54" i="4"/>
  <c r="M54" i="4"/>
  <c r="K55" i="4"/>
  <c r="L55" i="4"/>
  <c r="M55" i="4"/>
  <c r="K56" i="4"/>
  <c r="L56" i="4"/>
  <c r="M56" i="4"/>
  <c r="K52" i="4"/>
  <c r="L52" i="4"/>
  <c r="M52" i="4"/>
  <c r="G53" i="4"/>
  <c r="H53" i="4"/>
  <c r="I53" i="4" s="1"/>
  <c r="G54" i="4"/>
  <c r="H54" i="4"/>
  <c r="I54" i="4" s="1"/>
  <c r="G55" i="4"/>
  <c r="H55" i="4"/>
  <c r="I55" i="4" s="1"/>
  <c r="G56" i="4"/>
  <c r="H56" i="4"/>
  <c r="I56" i="4" s="1"/>
  <c r="H52" i="4"/>
  <c r="I52" i="4" s="1"/>
  <c r="G52" i="4"/>
  <c r="E53" i="4"/>
  <c r="F53" i="4"/>
  <c r="E54" i="4"/>
  <c r="F54" i="4"/>
  <c r="E55" i="4"/>
  <c r="F55" i="4"/>
  <c r="E56" i="4"/>
  <c r="F56" i="4"/>
  <c r="E52" i="4"/>
  <c r="AA52" i="4" s="1"/>
  <c r="AA57" i="4" s="1"/>
  <c r="F52" i="4"/>
  <c r="K142" i="4" l="1"/>
  <c r="K135" i="4"/>
  <c r="K138" i="4"/>
  <c r="X55" i="4"/>
  <c r="Y55" i="4"/>
  <c r="Z55" i="4"/>
  <c r="X56" i="4"/>
  <c r="Z56" i="4"/>
  <c r="Y56" i="4"/>
  <c r="Z54" i="4"/>
  <c r="X54" i="4"/>
  <c r="Y54" i="4"/>
  <c r="Z53" i="4"/>
  <c r="X53" i="4"/>
  <c r="Y53" i="4"/>
  <c r="X52" i="4"/>
  <c r="Z52" i="4"/>
  <c r="O132" i="4" s="1"/>
  <c r="P54" i="4"/>
  <c r="P52" i="4"/>
  <c r="P53" i="4"/>
  <c r="P56" i="4"/>
  <c r="P55" i="4"/>
  <c r="O55" i="4"/>
  <c r="O53" i="4"/>
  <c r="N56" i="4"/>
  <c r="N54" i="4"/>
  <c r="N55" i="4"/>
  <c r="O56" i="4"/>
  <c r="O54" i="4"/>
  <c r="K130" i="4"/>
  <c r="K137" i="4"/>
  <c r="K133" i="4"/>
  <c r="K131" i="4"/>
  <c r="O136" i="4"/>
  <c r="O130" i="4"/>
  <c r="O133" i="4"/>
  <c r="K136" i="4"/>
  <c r="O134" i="4"/>
  <c r="O137" i="4"/>
  <c r="O131" i="4"/>
  <c r="K134" i="4"/>
  <c r="N52" i="4"/>
  <c r="O167" i="4"/>
  <c r="K167" i="4"/>
  <c r="O138" i="4"/>
  <c r="O135" i="4"/>
  <c r="N53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3" i="4"/>
  <c r="C4" i="4"/>
  <c r="Z4" i="4" s="1"/>
  <c r="D4" i="4"/>
  <c r="C5" i="4"/>
  <c r="Z5" i="4" s="1"/>
  <c r="D5" i="4"/>
  <c r="C6" i="4"/>
  <c r="Z6" i="4" s="1"/>
  <c r="D6" i="4"/>
  <c r="C7" i="4"/>
  <c r="Z7" i="4" s="1"/>
  <c r="D7" i="4"/>
  <c r="C8" i="4"/>
  <c r="Z8" i="4" s="1"/>
  <c r="D8" i="4"/>
  <c r="C9" i="4"/>
  <c r="Z9" i="4" s="1"/>
  <c r="D9" i="4"/>
  <c r="C10" i="4"/>
  <c r="Z10" i="4" s="1"/>
  <c r="D10" i="4"/>
  <c r="C11" i="4"/>
  <c r="Z11" i="4" s="1"/>
  <c r="D11" i="4"/>
  <c r="C12" i="4"/>
  <c r="Z12" i="4" s="1"/>
  <c r="D12" i="4"/>
  <c r="C13" i="4"/>
  <c r="Z13" i="4" s="1"/>
  <c r="D13" i="4"/>
  <c r="C14" i="4"/>
  <c r="Z14" i="4" s="1"/>
  <c r="D14" i="4"/>
  <c r="C15" i="4"/>
  <c r="Z15" i="4" s="1"/>
  <c r="D15" i="4"/>
  <c r="C16" i="4"/>
  <c r="Z16" i="4" s="1"/>
  <c r="D16" i="4"/>
  <c r="C17" i="4"/>
  <c r="Z17" i="4" s="1"/>
  <c r="D17" i="4"/>
  <c r="C18" i="4"/>
  <c r="Z18" i="4" s="1"/>
  <c r="D18" i="4"/>
  <c r="C19" i="4"/>
  <c r="Z19" i="4" s="1"/>
  <c r="D19" i="4"/>
  <c r="C20" i="4"/>
  <c r="Z20" i="4" s="1"/>
  <c r="D20" i="4"/>
  <c r="C21" i="4"/>
  <c r="Z21" i="4" s="1"/>
  <c r="D21" i="4"/>
  <c r="C22" i="4"/>
  <c r="Z22" i="4" s="1"/>
  <c r="D22" i="4"/>
  <c r="C23" i="4"/>
  <c r="Z23" i="4" s="1"/>
  <c r="D23" i="4"/>
  <c r="C24" i="4"/>
  <c r="Z24" i="4" s="1"/>
  <c r="D24" i="4"/>
  <c r="C25" i="4"/>
  <c r="Z25" i="4" s="1"/>
  <c r="D25" i="4"/>
  <c r="C26" i="4"/>
  <c r="Z26" i="4" s="1"/>
  <c r="D26" i="4"/>
  <c r="C27" i="4"/>
  <c r="Z27" i="4" s="1"/>
  <c r="D27" i="4"/>
  <c r="C28" i="4"/>
  <c r="Z28" i="4" s="1"/>
  <c r="D28" i="4"/>
  <c r="C29" i="4"/>
  <c r="Z29" i="4" s="1"/>
  <c r="D29" i="4"/>
  <c r="C30" i="4"/>
  <c r="Z30" i="4" s="1"/>
  <c r="D30" i="4"/>
  <c r="C31" i="4"/>
  <c r="Z31" i="4" s="1"/>
  <c r="D31" i="4"/>
  <c r="C32" i="4"/>
  <c r="Z32" i="4" s="1"/>
  <c r="D32" i="4"/>
  <c r="C33" i="4"/>
  <c r="Z33" i="4" s="1"/>
  <c r="D33" i="4"/>
  <c r="C34" i="4"/>
  <c r="Z34" i="4" s="1"/>
  <c r="D34" i="4"/>
  <c r="C35" i="4"/>
  <c r="Z35" i="4" s="1"/>
  <c r="D35" i="4"/>
  <c r="C36" i="4"/>
  <c r="Z36" i="4" s="1"/>
  <c r="D36" i="4"/>
  <c r="C37" i="4"/>
  <c r="Z37" i="4" s="1"/>
  <c r="D37" i="4"/>
  <c r="C38" i="4"/>
  <c r="Z38" i="4" s="1"/>
  <c r="D38" i="4"/>
  <c r="C39" i="4"/>
  <c r="Z39" i="4" s="1"/>
  <c r="D39" i="4"/>
  <c r="C40" i="4"/>
  <c r="Z40" i="4" s="1"/>
  <c r="D40" i="4"/>
  <c r="C41" i="4"/>
  <c r="Z41" i="4" s="1"/>
  <c r="D41" i="4"/>
  <c r="C42" i="4"/>
  <c r="Z42" i="4" s="1"/>
  <c r="D42" i="4"/>
  <c r="C43" i="4"/>
  <c r="Z43" i="4" s="1"/>
  <c r="D43" i="4"/>
  <c r="C44" i="4"/>
  <c r="Z44" i="4" s="1"/>
  <c r="D44" i="4"/>
  <c r="C45" i="4"/>
  <c r="Z45" i="4" s="1"/>
  <c r="D45" i="4"/>
  <c r="C46" i="4"/>
  <c r="Z46" i="4" s="1"/>
  <c r="D46" i="4"/>
  <c r="C47" i="4"/>
  <c r="Z47" i="4" s="1"/>
  <c r="D47" i="4"/>
  <c r="D3" i="4"/>
  <c r="C3" i="4"/>
  <c r="O52" i="4" l="1"/>
  <c r="K170" i="4"/>
  <c r="N142" i="4"/>
  <c r="X16" i="4"/>
  <c r="Y16" i="4"/>
  <c r="X38" i="4"/>
  <c r="Y38" i="4"/>
  <c r="X32" i="4"/>
  <c r="Y32" i="4"/>
  <c r="X26" i="4"/>
  <c r="Y26" i="4"/>
  <c r="X20" i="4"/>
  <c r="Y20" i="4"/>
  <c r="X14" i="4"/>
  <c r="Y14" i="4"/>
  <c r="X8" i="4"/>
  <c r="Y8" i="4"/>
  <c r="X22" i="4"/>
  <c r="Y22" i="4"/>
  <c r="Y44" i="4"/>
  <c r="X44" i="4"/>
  <c r="X40" i="4"/>
  <c r="Y40" i="4"/>
  <c r="Y37" i="4"/>
  <c r="X37" i="4"/>
  <c r="X31" i="4"/>
  <c r="Y31" i="4"/>
  <c r="Y25" i="4"/>
  <c r="X25" i="4"/>
  <c r="I19" i="4"/>
  <c r="X19" i="4"/>
  <c r="Y19" i="4"/>
  <c r="I13" i="4"/>
  <c r="Y13" i="4"/>
  <c r="X13" i="4"/>
  <c r="X43" i="4"/>
  <c r="Y43" i="4"/>
  <c r="X42" i="4"/>
  <c r="Y42" i="4"/>
  <c r="Y24" i="4"/>
  <c r="X24" i="4"/>
  <c r="X12" i="4"/>
  <c r="Y12" i="4"/>
  <c r="Y36" i="4"/>
  <c r="X36" i="4"/>
  <c r="X30" i="4"/>
  <c r="Y30" i="4"/>
  <c r="X18" i="4"/>
  <c r="Y18" i="4"/>
  <c r="X47" i="4"/>
  <c r="Y47" i="4"/>
  <c r="Y41" i="4"/>
  <c r="X41" i="4"/>
  <c r="Y35" i="4"/>
  <c r="X35" i="4"/>
  <c r="Y29" i="4"/>
  <c r="X29" i="4"/>
  <c r="Y23" i="4"/>
  <c r="X23" i="4"/>
  <c r="Y17" i="4"/>
  <c r="X17" i="4"/>
  <c r="I11" i="4"/>
  <c r="X11" i="4"/>
  <c r="Y11" i="4"/>
  <c r="X34" i="4"/>
  <c r="Y34" i="4"/>
  <c r="X28" i="4"/>
  <c r="Y28" i="4"/>
  <c r="Y45" i="4"/>
  <c r="X45" i="4"/>
  <c r="Y33" i="4"/>
  <c r="X33" i="4"/>
  <c r="Y27" i="4"/>
  <c r="X27" i="4"/>
  <c r="I21" i="4"/>
  <c r="Y21" i="4"/>
  <c r="X21" i="4"/>
  <c r="I15" i="4"/>
  <c r="Y15" i="4"/>
  <c r="X15" i="4"/>
  <c r="I9" i="4"/>
  <c r="Y9" i="4"/>
  <c r="X9" i="4"/>
  <c r="X46" i="4"/>
  <c r="Y46" i="4"/>
  <c r="X10" i="4"/>
  <c r="Y10" i="4"/>
  <c r="Y39" i="4"/>
  <c r="X39" i="4"/>
  <c r="N167" i="4"/>
  <c r="X5" i="4"/>
  <c r="Y5" i="4"/>
  <c r="X4" i="4"/>
  <c r="Y4" i="4"/>
  <c r="I7" i="4"/>
  <c r="X7" i="4"/>
  <c r="Y7" i="4"/>
  <c r="X6" i="4"/>
  <c r="Y6" i="4"/>
  <c r="N135" i="4"/>
  <c r="N137" i="4"/>
  <c r="N138" i="4"/>
  <c r="N136" i="4"/>
  <c r="N130" i="4"/>
  <c r="N131" i="4"/>
  <c r="N134" i="4"/>
  <c r="N133" i="4"/>
  <c r="I5" i="4"/>
  <c r="I47" i="4"/>
  <c r="I45" i="4"/>
  <c r="I43" i="4"/>
  <c r="I41" i="4"/>
  <c r="I39" i="4"/>
  <c r="I37" i="4"/>
  <c r="I35" i="4"/>
  <c r="I33" i="4"/>
  <c r="I31" i="4"/>
  <c r="I29" i="4"/>
  <c r="I27" i="4"/>
  <c r="I25" i="4"/>
  <c r="I23" i="4"/>
  <c r="I17" i="4"/>
  <c r="I46" i="4"/>
  <c r="I44" i="4"/>
  <c r="I42" i="4"/>
  <c r="I40" i="4"/>
  <c r="I38" i="4"/>
  <c r="I36" i="4"/>
  <c r="I34" i="4"/>
  <c r="I32" i="4"/>
  <c r="I30" i="4"/>
  <c r="I28" i="4"/>
  <c r="I26" i="4"/>
  <c r="I24" i="4"/>
  <c r="I22" i="4"/>
  <c r="I20" i="4"/>
  <c r="I18" i="4"/>
  <c r="I16" i="4"/>
  <c r="I14" i="4"/>
  <c r="I12" i="4"/>
  <c r="I10" i="4"/>
  <c r="I8" i="4"/>
  <c r="I6" i="4"/>
  <c r="I4" i="4"/>
  <c r="K166" i="4"/>
  <c r="L102" i="5" s="1"/>
  <c r="I3" i="4"/>
  <c r="V4" i="4"/>
  <c r="W4" i="4"/>
  <c r="W5" i="4"/>
  <c r="W6" i="4"/>
  <c r="W7" i="4"/>
  <c r="V8" i="4"/>
  <c r="W8" i="4"/>
  <c r="V9" i="4"/>
  <c r="W9" i="4"/>
  <c r="V10" i="4"/>
  <c r="W10" i="4"/>
  <c r="V11" i="4"/>
  <c r="W11" i="4"/>
  <c r="V12" i="4"/>
  <c r="W12" i="4"/>
  <c r="V13" i="4"/>
  <c r="W13" i="4"/>
  <c r="V14" i="4"/>
  <c r="W14" i="4"/>
  <c r="V15" i="4"/>
  <c r="W15" i="4"/>
  <c r="V16" i="4"/>
  <c r="W16" i="4"/>
  <c r="V17" i="4"/>
  <c r="W17" i="4"/>
  <c r="V18" i="4"/>
  <c r="W18" i="4"/>
  <c r="V19" i="4"/>
  <c r="W19" i="4"/>
  <c r="V20" i="4"/>
  <c r="W20" i="4"/>
  <c r="V21" i="4"/>
  <c r="W21" i="4"/>
  <c r="V22" i="4"/>
  <c r="W22" i="4"/>
  <c r="V23" i="4"/>
  <c r="W23" i="4"/>
  <c r="V24" i="4"/>
  <c r="W24" i="4"/>
  <c r="V25" i="4"/>
  <c r="W25" i="4"/>
  <c r="V26" i="4"/>
  <c r="W26" i="4"/>
  <c r="V27" i="4"/>
  <c r="W27" i="4"/>
  <c r="V28" i="4"/>
  <c r="W28" i="4"/>
  <c r="V29" i="4"/>
  <c r="W29" i="4"/>
  <c r="V30" i="4"/>
  <c r="W30" i="4"/>
  <c r="V31" i="4"/>
  <c r="W31" i="4"/>
  <c r="V32" i="4"/>
  <c r="W32" i="4"/>
  <c r="V33" i="4"/>
  <c r="W33" i="4"/>
  <c r="V34" i="4"/>
  <c r="W34" i="4"/>
  <c r="V35" i="4"/>
  <c r="W35" i="4"/>
  <c r="V36" i="4"/>
  <c r="W36" i="4"/>
  <c r="V37" i="4"/>
  <c r="W37" i="4"/>
  <c r="V38" i="4"/>
  <c r="W38" i="4"/>
  <c r="V39" i="4"/>
  <c r="W39" i="4"/>
  <c r="V40" i="4"/>
  <c r="W40" i="4"/>
  <c r="V41" i="4"/>
  <c r="W41" i="4"/>
  <c r="V42" i="4"/>
  <c r="W42" i="4"/>
  <c r="V43" i="4"/>
  <c r="W43" i="4"/>
  <c r="V44" i="4"/>
  <c r="W44" i="4"/>
  <c r="V45" i="4"/>
  <c r="W45" i="4"/>
  <c r="V46" i="4"/>
  <c r="W46" i="4"/>
  <c r="V47" i="4"/>
  <c r="W47" i="4"/>
  <c r="W3" i="4"/>
  <c r="V3" i="4"/>
  <c r="U3" i="4"/>
  <c r="AD4" i="4"/>
  <c r="AE4" i="4"/>
  <c r="AF4" i="4"/>
  <c r="AD5" i="4"/>
  <c r="AE5" i="4"/>
  <c r="AF5" i="4"/>
  <c r="AD6" i="4"/>
  <c r="AE6" i="4"/>
  <c r="AF6" i="4"/>
  <c r="AD7" i="4"/>
  <c r="AE7" i="4"/>
  <c r="AF7" i="4"/>
  <c r="AD8" i="4"/>
  <c r="AE8" i="4"/>
  <c r="AF8" i="4"/>
  <c r="AD9" i="4"/>
  <c r="AE9" i="4"/>
  <c r="AF9" i="4"/>
  <c r="AD10" i="4"/>
  <c r="AE10" i="4"/>
  <c r="AF10" i="4"/>
  <c r="AD11" i="4"/>
  <c r="AE11" i="4"/>
  <c r="AF11" i="4"/>
  <c r="AD12" i="4"/>
  <c r="AE12" i="4"/>
  <c r="AF12" i="4"/>
  <c r="AD13" i="4"/>
  <c r="AE13" i="4"/>
  <c r="AF13" i="4"/>
  <c r="AD14" i="4"/>
  <c r="AE14" i="4"/>
  <c r="AF14" i="4"/>
  <c r="AD15" i="4"/>
  <c r="AE15" i="4"/>
  <c r="AF15" i="4"/>
  <c r="AD16" i="4"/>
  <c r="AE16" i="4"/>
  <c r="AF16" i="4"/>
  <c r="AD17" i="4"/>
  <c r="AE17" i="4"/>
  <c r="AF17" i="4"/>
  <c r="AD18" i="4"/>
  <c r="AE18" i="4"/>
  <c r="AF18" i="4"/>
  <c r="AD19" i="4"/>
  <c r="AE19" i="4"/>
  <c r="AF19" i="4"/>
  <c r="AD20" i="4"/>
  <c r="AE20" i="4"/>
  <c r="AF20" i="4"/>
  <c r="AD21" i="4"/>
  <c r="AE21" i="4"/>
  <c r="AF21" i="4"/>
  <c r="AD22" i="4"/>
  <c r="AE22" i="4"/>
  <c r="AF22" i="4"/>
  <c r="AD23" i="4"/>
  <c r="AE23" i="4"/>
  <c r="AF23" i="4"/>
  <c r="AD24" i="4"/>
  <c r="AE24" i="4"/>
  <c r="AF24" i="4"/>
  <c r="AD25" i="4"/>
  <c r="AE25" i="4"/>
  <c r="AF25" i="4"/>
  <c r="AD26" i="4"/>
  <c r="AE26" i="4"/>
  <c r="AF26" i="4"/>
  <c r="AD27" i="4"/>
  <c r="AE27" i="4"/>
  <c r="AF27" i="4"/>
  <c r="AD28" i="4"/>
  <c r="AE28" i="4"/>
  <c r="AF28" i="4"/>
  <c r="AD29" i="4"/>
  <c r="AE29" i="4"/>
  <c r="AF29" i="4"/>
  <c r="AD30" i="4"/>
  <c r="AE30" i="4"/>
  <c r="AF30" i="4"/>
  <c r="AD31" i="4"/>
  <c r="AE31" i="4"/>
  <c r="AF31" i="4"/>
  <c r="AD32" i="4"/>
  <c r="AE32" i="4"/>
  <c r="AF32" i="4"/>
  <c r="AD33" i="4"/>
  <c r="AE33" i="4"/>
  <c r="AF33" i="4"/>
  <c r="AD34" i="4"/>
  <c r="AE34" i="4"/>
  <c r="AF34" i="4"/>
  <c r="AD35" i="4"/>
  <c r="AE35" i="4"/>
  <c r="AF35" i="4"/>
  <c r="AD36" i="4"/>
  <c r="AE36" i="4"/>
  <c r="AF36" i="4"/>
  <c r="AD37" i="4"/>
  <c r="AE37" i="4"/>
  <c r="AF37" i="4"/>
  <c r="AD38" i="4"/>
  <c r="AE38" i="4"/>
  <c r="AF38" i="4"/>
  <c r="AD39" i="4"/>
  <c r="AE39" i="4"/>
  <c r="AF39" i="4"/>
  <c r="AD40" i="4"/>
  <c r="AE40" i="4"/>
  <c r="AF40" i="4"/>
  <c r="AD41" i="4"/>
  <c r="AE41" i="4"/>
  <c r="AF41" i="4"/>
  <c r="AD42" i="4"/>
  <c r="AE42" i="4"/>
  <c r="AF42" i="4"/>
  <c r="AD43" i="4"/>
  <c r="AE43" i="4"/>
  <c r="AF43" i="4"/>
  <c r="AD44" i="4"/>
  <c r="AE44" i="4"/>
  <c r="AF44" i="4"/>
  <c r="AD45" i="4"/>
  <c r="AE45" i="4"/>
  <c r="AF45" i="4"/>
  <c r="AD46" i="4"/>
  <c r="AE46" i="4"/>
  <c r="AF46" i="4"/>
  <c r="AD47" i="4"/>
  <c r="AE47" i="4"/>
  <c r="AF47" i="4"/>
  <c r="AF3" i="4"/>
  <c r="AD3" i="4"/>
  <c r="AE3" i="4"/>
  <c r="AB4" i="4"/>
  <c r="AB5" i="4"/>
  <c r="AB6" i="4"/>
  <c r="AB7" i="4"/>
  <c r="AB8" i="4"/>
  <c r="AB9" i="4"/>
  <c r="AB10" i="4"/>
  <c r="AB11" i="4"/>
  <c r="AB12" i="4"/>
  <c r="AB13" i="4"/>
  <c r="AB14" i="4"/>
  <c r="AB15" i="4"/>
  <c r="AB16" i="4"/>
  <c r="AB17" i="4"/>
  <c r="AB18" i="4"/>
  <c r="AB19" i="4"/>
  <c r="AB20" i="4"/>
  <c r="AB21" i="4"/>
  <c r="AB22" i="4"/>
  <c r="AB23" i="4"/>
  <c r="AB24" i="4"/>
  <c r="AB25" i="4"/>
  <c r="AB26" i="4"/>
  <c r="AB27" i="4"/>
  <c r="AB28" i="4"/>
  <c r="AB29" i="4"/>
  <c r="AB30" i="4"/>
  <c r="AB31" i="4"/>
  <c r="AB32" i="4"/>
  <c r="AB33" i="4"/>
  <c r="AB34" i="4"/>
  <c r="AB35" i="4"/>
  <c r="AB36" i="4"/>
  <c r="AB37" i="4"/>
  <c r="AB38" i="4"/>
  <c r="AB39" i="4"/>
  <c r="AB40" i="4"/>
  <c r="AB41" i="4"/>
  <c r="AB42" i="4"/>
  <c r="AB43" i="4"/>
  <c r="AB44" i="4"/>
  <c r="AB45" i="4"/>
  <c r="AB46" i="4"/>
  <c r="AB47" i="4"/>
  <c r="AB3" i="4"/>
  <c r="R4" i="4"/>
  <c r="S4" i="4"/>
  <c r="U4" i="4"/>
  <c r="R5" i="4"/>
  <c r="S5" i="4"/>
  <c r="U5" i="4"/>
  <c r="R6" i="4"/>
  <c r="S6" i="4"/>
  <c r="U6" i="4"/>
  <c r="R7" i="4"/>
  <c r="S7" i="4"/>
  <c r="U7" i="4"/>
  <c r="R8" i="4"/>
  <c r="S8" i="4"/>
  <c r="U8" i="4"/>
  <c r="R9" i="4"/>
  <c r="S9" i="4"/>
  <c r="U9" i="4"/>
  <c r="R10" i="4"/>
  <c r="S10" i="4"/>
  <c r="U10" i="4"/>
  <c r="R11" i="4"/>
  <c r="S11" i="4"/>
  <c r="U11" i="4"/>
  <c r="R12" i="4"/>
  <c r="S12" i="4"/>
  <c r="U12" i="4"/>
  <c r="R13" i="4"/>
  <c r="S13" i="4"/>
  <c r="U13" i="4"/>
  <c r="R14" i="4"/>
  <c r="S14" i="4"/>
  <c r="U14" i="4"/>
  <c r="R15" i="4"/>
  <c r="S15" i="4"/>
  <c r="U15" i="4"/>
  <c r="R16" i="4"/>
  <c r="S16" i="4"/>
  <c r="U16" i="4"/>
  <c r="R17" i="4"/>
  <c r="S17" i="4"/>
  <c r="U17" i="4"/>
  <c r="R18" i="4"/>
  <c r="S18" i="4"/>
  <c r="U18" i="4"/>
  <c r="R19" i="4"/>
  <c r="S19" i="4"/>
  <c r="U19" i="4"/>
  <c r="R20" i="4"/>
  <c r="S20" i="4"/>
  <c r="U20" i="4"/>
  <c r="R21" i="4"/>
  <c r="S21" i="4"/>
  <c r="U21" i="4"/>
  <c r="R22" i="4"/>
  <c r="S22" i="4"/>
  <c r="U22" i="4"/>
  <c r="R23" i="4"/>
  <c r="S23" i="4"/>
  <c r="U23" i="4"/>
  <c r="R24" i="4"/>
  <c r="S24" i="4"/>
  <c r="U24" i="4"/>
  <c r="R25" i="4"/>
  <c r="S25" i="4"/>
  <c r="U25" i="4"/>
  <c r="R26" i="4"/>
  <c r="S26" i="4"/>
  <c r="U26" i="4"/>
  <c r="R27" i="4"/>
  <c r="S27" i="4"/>
  <c r="U27" i="4"/>
  <c r="R28" i="4"/>
  <c r="S28" i="4"/>
  <c r="U28" i="4"/>
  <c r="R29" i="4"/>
  <c r="S29" i="4"/>
  <c r="U29" i="4"/>
  <c r="R30" i="4"/>
  <c r="S30" i="4"/>
  <c r="U30" i="4"/>
  <c r="R31" i="4"/>
  <c r="S31" i="4"/>
  <c r="U31" i="4"/>
  <c r="R32" i="4"/>
  <c r="S32" i="4"/>
  <c r="U32" i="4"/>
  <c r="R33" i="4"/>
  <c r="S33" i="4"/>
  <c r="U33" i="4"/>
  <c r="R34" i="4"/>
  <c r="S34" i="4"/>
  <c r="U34" i="4"/>
  <c r="R35" i="4"/>
  <c r="S35" i="4"/>
  <c r="U35" i="4"/>
  <c r="R36" i="4"/>
  <c r="S36" i="4"/>
  <c r="U36" i="4"/>
  <c r="R37" i="4"/>
  <c r="S37" i="4"/>
  <c r="U37" i="4"/>
  <c r="R38" i="4"/>
  <c r="S38" i="4"/>
  <c r="U38" i="4"/>
  <c r="R39" i="4"/>
  <c r="S39" i="4"/>
  <c r="U39" i="4"/>
  <c r="R40" i="4"/>
  <c r="S40" i="4"/>
  <c r="U40" i="4"/>
  <c r="R41" i="4"/>
  <c r="S41" i="4"/>
  <c r="U41" i="4"/>
  <c r="R42" i="4"/>
  <c r="S42" i="4"/>
  <c r="U42" i="4"/>
  <c r="R43" i="4"/>
  <c r="S43" i="4"/>
  <c r="U43" i="4"/>
  <c r="R44" i="4"/>
  <c r="S44" i="4"/>
  <c r="U44" i="4"/>
  <c r="R45" i="4"/>
  <c r="S45" i="4"/>
  <c r="U45" i="4"/>
  <c r="R46" i="4"/>
  <c r="S46" i="4"/>
  <c r="U46" i="4"/>
  <c r="R47" i="4"/>
  <c r="S47" i="4"/>
  <c r="U47" i="4"/>
  <c r="S3" i="4"/>
  <c r="R3" i="4"/>
  <c r="Q4" i="4"/>
  <c r="Q5" i="4"/>
  <c r="Q6" i="4"/>
  <c r="Q7" i="4"/>
  <c r="Q8" i="4"/>
  <c r="Q9" i="4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Q24" i="4"/>
  <c r="Q25" i="4"/>
  <c r="Q26" i="4"/>
  <c r="Q27" i="4"/>
  <c r="Q28" i="4"/>
  <c r="Q29" i="4"/>
  <c r="Q30" i="4"/>
  <c r="Q31" i="4"/>
  <c r="Q32" i="4"/>
  <c r="Q33" i="4"/>
  <c r="Q34" i="4"/>
  <c r="Q35" i="4"/>
  <c r="Q36" i="4"/>
  <c r="Q37" i="4"/>
  <c r="Q38" i="4"/>
  <c r="Q39" i="4"/>
  <c r="Q40" i="4"/>
  <c r="Q41" i="4"/>
  <c r="Q42" i="4"/>
  <c r="Q43" i="4"/>
  <c r="Q44" i="4"/>
  <c r="Q45" i="4"/>
  <c r="Q46" i="4"/>
  <c r="Q47" i="4"/>
  <c r="Q3" i="4"/>
  <c r="K4" i="4"/>
  <c r="L4" i="4"/>
  <c r="M4" i="4"/>
  <c r="K5" i="4"/>
  <c r="L5" i="4"/>
  <c r="M5" i="4"/>
  <c r="K6" i="4"/>
  <c r="L6" i="4"/>
  <c r="M6" i="4"/>
  <c r="K7" i="4"/>
  <c r="L7" i="4"/>
  <c r="M7" i="4"/>
  <c r="K8" i="4"/>
  <c r="L8" i="4"/>
  <c r="M8" i="4"/>
  <c r="K9" i="4"/>
  <c r="L9" i="4"/>
  <c r="M9" i="4"/>
  <c r="K10" i="4"/>
  <c r="L10" i="4"/>
  <c r="M10" i="4"/>
  <c r="K11" i="4"/>
  <c r="L11" i="4"/>
  <c r="M11" i="4"/>
  <c r="K12" i="4"/>
  <c r="L12" i="4"/>
  <c r="M12" i="4"/>
  <c r="K13" i="4"/>
  <c r="L13" i="4"/>
  <c r="M13" i="4"/>
  <c r="K14" i="4"/>
  <c r="L14" i="4"/>
  <c r="M14" i="4"/>
  <c r="K15" i="4"/>
  <c r="L15" i="4"/>
  <c r="M15" i="4"/>
  <c r="K16" i="4"/>
  <c r="L16" i="4"/>
  <c r="M16" i="4"/>
  <c r="K17" i="4"/>
  <c r="L17" i="4"/>
  <c r="M17" i="4"/>
  <c r="K18" i="4"/>
  <c r="L18" i="4"/>
  <c r="M18" i="4"/>
  <c r="K19" i="4"/>
  <c r="L19" i="4"/>
  <c r="M19" i="4"/>
  <c r="K20" i="4"/>
  <c r="L20" i="4"/>
  <c r="M20" i="4"/>
  <c r="K21" i="4"/>
  <c r="L21" i="4"/>
  <c r="M21" i="4"/>
  <c r="K22" i="4"/>
  <c r="L22" i="4"/>
  <c r="M22" i="4"/>
  <c r="K23" i="4"/>
  <c r="L23" i="4"/>
  <c r="M23" i="4"/>
  <c r="K24" i="4"/>
  <c r="L24" i="4"/>
  <c r="M24" i="4"/>
  <c r="K25" i="4"/>
  <c r="L25" i="4"/>
  <c r="M25" i="4"/>
  <c r="K26" i="4"/>
  <c r="L26" i="4"/>
  <c r="M26" i="4"/>
  <c r="K27" i="4"/>
  <c r="L27" i="4"/>
  <c r="M27" i="4"/>
  <c r="K28" i="4"/>
  <c r="L28" i="4"/>
  <c r="M28" i="4"/>
  <c r="K29" i="4"/>
  <c r="L29" i="4"/>
  <c r="M29" i="4"/>
  <c r="K30" i="4"/>
  <c r="L30" i="4"/>
  <c r="M30" i="4"/>
  <c r="K31" i="4"/>
  <c r="L31" i="4"/>
  <c r="M31" i="4"/>
  <c r="K32" i="4"/>
  <c r="L32" i="4"/>
  <c r="M32" i="4"/>
  <c r="K33" i="4"/>
  <c r="L33" i="4"/>
  <c r="M33" i="4"/>
  <c r="K34" i="4"/>
  <c r="L34" i="4"/>
  <c r="M34" i="4"/>
  <c r="K35" i="4"/>
  <c r="L35" i="4"/>
  <c r="M35" i="4"/>
  <c r="K36" i="4"/>
  <c r="L36" i="4"/>
  <c r="M36" i="4"/>
  <c r="K37" i="4"/>
  <c r="L37" i="4"/>
  <c r="M37" i="4"/>
  <c r="K38" i="4"/>
  <c r="L38" i="4"/>
  <c r="M38" i="4"/>
  <c r="K39" i="4"/>
  <c r="L39" i="4"/>
  <c r="M39" i="4"/>
  <c r="K40" i="4"/>
  <c r="L40" i="4"/>
  <c r="M40" i="4"/>
  <c r="K41" i="4"/>
  <c r="L41" i="4"/>
  <c r="M41" i="4"/>
  <c r="K42" i="4"/>
  <c r="L42" i="4"/>
  <c r="M42" i="4"/>
  <c r="K43" i="4"/>
  <c r="L43" i="4"/>
  <c r="M43" i="4"/>
  <c r="K44" i="4"/>
  <c r="L44" i="4"/>
  <c r="M44" i="4"/>
  <c r="K45" i="4"/>
  <c r="L45" i="4"/>
  <c r="M45" i="4"/>
  <c r="K46" i="4"/>
  <c r="L46" i="4"/>
  <c r="M46" i="4"/>
  <c r="K47" i="4"/>
  <c r="L47" i="4"/>
  <c r="M47" i="4"/>
  <c r="K3" i="4"/>
  <c r="L3" i="4"/>
  <c r="M3" i="4"/>
  <c r="D48" i="4"/>
  <c r="C48" i="4"/>
  <c r="K95" i="4" l="1"/>
  <c r="K91" i="4"/>
  <c r="K87" i="4"/>
  <c r="K169" i="4"/>
  <c r="L105" i="5" s="1"/>
  <c r="N170" i="4"/>
  <c r="K96" i="4"/>
  <c r="L32" i="5" s="1"/>
  <c r="K92" i="4"/>
  <c r="L28" i="5" s="1"/>
  <c r="X3" i="4"/>
  <c r="O89" i="4" s="1"/>
  <c r="N37" i="4"/>
  <c r="O37" i="4"/>
  <c r="N13" i="4"/>
  <c r="O13" i="4"/>
  <c r="N25" i="4"/>
  <c r="O25" i="4"/>
  <c r="N47" i="4"/>
  <c r="O47" i="4"/>
  <c r="N43" i="4"/>
  <c r="O43" i="4"/>
  <c r="O39" i="4"/>
  <c r="N39" i="4"/>
  <c r="N35" i="4"/>
  <c r="O35" i="4"/>
  <c r="N31" i="4"/>
  <c r="O31" i="4"/>
  <c r="O27" i="4"/>
  <c r="N27" i="4"/>
  <c r="N23" i="4"/>
  <c r="O23" i="4"/>
  <c r="N19" i="4"/>
  <c r="O19" i="4"/>
  <c r="O15" i="4"/>
  <c r="N15" i="4"/>
  <c r="N11" i="4"/>
  <c r="O11" i="4"/>
  <c r="N7" i="4"/>
  <c r="O7" i="4"/>
  <c r="N46" i="4"/>
  <c r="O46" i="4"/>
  <c r="N42" i="4"/>
  <c r="O42" i="4"/>
  <c r="N38" i="4"/>
  <c r="O38" i="4"/>
  <c r="N34" i="4"/>
  <c r="O34" i="4"/>
  <c r="N30" i="4"/>
  <c r="O30" i="4"/>
  <c r="N26" i="4"/>
  <c r="O26" i="4"/>
  <c r="N22" i="4"/>
  <c r="O22" i="4"/>
  <c r="N18" i="4"/>
  <c r="O18" i="4"/>
  <c r="N14" i="4"/>
  <c r="O14" i="4"/>
  <c r="N10" i="4"/>
  <c r="O10" i="4"/>
  <c r="N6" i="4"/>
  <c r="O6" i="4"/>
  <c r="N41" i="4"/>
  <c r="O41" i="4"/>
  <c r="N9" i="4"/>
  <c r="O9" i="4"/>
  <c r="N17" i="4"/>
  <c r="O17" i="4"/>
  <c r="N29" i="4"/>
  <c r="O29" i="4"/>
  <c r="O45" i="4"/>
  <c r="N45" i="4"/>
  <c r="O33" i="4"/>
  <c r="N33" i="4"/>
  <c r="O21" i="4"/>
  <c r="N21" i="4"/>
  <c r="N5" i="4"/>
  <c r="O5" i="4"/>
  <c r="N44" i="4"/>
  <c r="O44" i="4"/>
  <c r="N40" i="4"/>
  <c r="O40" i="4"/>
  <c r="N36" i="4"/>
  <c r="O36" i="4"/>
  <c r="N32" i="4"/>
  <c r="O32" i="4"/>
  <c r="N28" i="4"/>
  <c r="O28" i="4"/>
  <c r="N24" i="4"/>
  <c r="O24" i="4"/>
  <c r="N20" i="4"/>
  <c r="O20" i="4"/>
  <c r="N16" i="4"/>
  <c r="O16" i="4"/>
  <c r="N12" i="4"/>
  <c r="O12" i="4"/>
  <c r="N8" i="4"/>
  <c r="O8" i="4"/>
  <c r="N4" i="4"/>
  <c r="O4" i="4"/>
  <c r="N3" i="4"/>
  <c r="O3" i="4" s="1"/>
  <c r="O171" i="4" s="1"/>
  <c r="N166" i="4"/>
  <c r="N97" i="4"/>
  <c r="N110" i="4"/>
  <c r="N98" i="4"/>
  <c r="N101" i="4"/>
  <c r="N109" i="4"/>
  <c r="N106" i="4"/>
  <c r="N105" i="4"/>
  <c r="N102" i="4"/>
  <c r="N112" i="4"/>
  <c r="N108" i="4"/>
  <c r="N100" i="4"/>
  <c r="N104" i="4"/>
  <c r="P44" i="4"/>
  <c r="P12" i="4"/>
  <c r="P20" i="4"/>
  <c r="P47" i="4"/>
  <c r="P39" i="4"/>
  <c r="P35" i="4"/>
  <c r="P31" i="4"/>
  <c r="P27" i="4"/>
  <c r="P23" i="4"/>
  <c r="P19" i="4"/>
  <c r="P15" i="4"/>
  <c r="P11" i="4"/>
  <c r="P7" i="4"/>
  <c r="P8" i="4"/>
  <c r="P40" i="4"/>
  <c r="P24" i="4"/>
  <c r="P43" i="4"/>
  <c r="P38" i="4"/>
  <c r="P22" i="4"/>
  <c r="P36" i="4"/>
  <c r="P4" i="4"/>
  <c r="P46" i="4"/>
  <c r="P42" i="4"/>
  <c r="P34" i="4"/>
  <c r="P30" i="4"/>
  <c r="P26" i="4"/>
  <c r="P18" i="4"/>
  <c r="P14" i="4"/>
  <c r="P10" i="4"/>
  <c r="P6" i="4"/>
  <c r="P28" i="4"/>
  <c r="P32" i="4"/>
  <c r="P16" i="4"/>
  <c r="P45" i="4"/>
  <c r="P41" i="4"/>
  <c r="P37" i="4"/>
  <c r="P33" i="4"/>
  <c r="P29" i="4"/>
  <c r="P25" i="4"/>
  <c r="P21" i="4"/>
  <c r="P17" i="4"/>
  <c r="P13" i="4"/>
  <c r="P9" i="4"/>
  <c r="P5" i="4"/>
  <c r="O169" i="4"/>
  <c r="K171" i="4"/>
  <c r="L107" i="5" s="1"/>
  <c r="K172" i="4"/>
  <c r="L108" i="5" s="1"/>
  <c r="AC53" i="4"/>
  <c r="AC55" i="4"/>
  <c r="AC52" i="4"/>
  <c r="AC5" i="4"/>
  <c r="AC7" i="4"/>
  <c r="AC9" i="4"/>
  <c r="AC11" i="4"/>
  <c r="AC13" i="4"/>
  <c r="AC15" i="4"/>
  <c r="AC17" i="4"/>
  <c r="AC19" i="4"/>
  <c r="AC21" i="4"/>
  <c r="AC23" i="4"/>
  <c r="AC25" i="4"/>
  <c r="AC27" i="4"/>
  <c r="AC29" i="4"/>
  <c r="AC31" i="4"/>
  <c r="AC33" i="4"/>
  <c r="AC35" i="4"/>
  <c r="AC37" i="4"/>
  <c r="AC39" i="4"/>
  <c r="AC41" i="4"/>
  <c r="AC43" i="4"/>
  <c r="AC45" i="4"/>
  <c r="AC47" i="4"/>
  <c r="AC54" i="4"/>
  <c r="AC56" i="4"/>
  <c r="AC4" i="4"/>
  <c r="AC6" i="4"/>
  <c r="AC8" i="4"/>
  <c r="AC10" i="4"/>
  <c r="AC12" i="4"/>
  <c r="AC14" i="4"/>
  <c r="AC16" i="4"/>
  <c r="AC18" i="4"/>
  <c r="AC20" i="4"/>
  <c r="AC22" i="4"/>
  <c r="AC24" i="4"/>
  <c r="AC26" i="4"/>
  <c r="AC28" i="4"/>
  <c r="AC30" i="4"/>
  <c r="AC32" i="4"/>
  <c r="AC34" i="4"/>
  <c r="AC36" i="4"/>
  <c r="AC38" i="4"/>
  <c r="AC40" i="4"/>
  <c r="AC42" i="4"/>
  <c r="AC44" i="4"/>
  <c r="AC46" i="4"/>
  <c r="AC3" i="4"/>
  <c r="K89" i="4"/>
  <c r="L25" i="5" s="1"/>
  <c r="O90" i="4"/>
  <c r="K85" i="4"/>
  <c r="AD77" i="1"/>
  <c r="AD66" i="1"/>
  <c r="L23" i="5" l="1"/>
  <c r="N87" i="4"/>
  <c r="N91" i="4"/>
  <c r="L27" i="5"/>
  <c r="L31" i="5"/>
  <c r="N95" i="4"/>
  <c r="K168" i="4"/>
  <c r="L104" i="5" s="1"/>
  <c r="N171" i="4"/>
  <c r="P3" i="4"/>
  <c r="N96" i="4"/>
  <c r="N89" i="4"/>
  <c r="N169" i="4"/>
  <c r="N172" i="4"/>
  <c r="O173" i="4"/>
  <c r="O96" i="4"/>
  <c r="O168" i="4"/>
  <c r="L21" i="5"/>
  <c r="N85" i="4"/>
  <c r="O172" i="4"/>
  <c r="J77" i="1"/>
  <c r="J66" i="1"/>
  <c r="N168" i="4" l="1"/>
  <c r="K173" i="4"/>
  <c r="L109" i="5" s="1"/>
  <c r="N173" i="4" l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87" i="1"/>
  <c r="AI87" i="1" l="1"/>
  <c r="O4" i="3" l="1"/>
  <c r="D79" i="7"/>
  <c r="C79" i="7"/>
  <c r="D78" i="7"/>
  <c r="C78" i="7"/>
  <c r="D77" i="7"/>
  <c r="C77" i="7"/>
  <c r="D76" i="7"/>
  <c r="C76" i="7"/>
  <c r="D75" i="7"/>
  <c r="C75" i="7"/>
  <c r="D74" i="7"/>
  <c r="C74" i="7"/>
  <c r="D73" i="7"/>
  <c r="C73" i="7"/>
  <c r="D72" i="7"/>
  <c r="C72" i="7"/>
  <c r="D71" i="7"/>
  <c r="C71" i="7"/>
  <c r="D70" i="7"/>
  <c r="C70" i="7"/>
  <c r="D69" i="7"/>
  <c r="C69" i="7"/>
  <c r="D68" i="7"/>
  <c r="C68" i="7"/>
  <c r="D67" i="7"/>
  <c r="C67" i="7"/>
  <c r="D66" i="7"/>
  <c r="C66" i="7"/>
  <c r="D65" i="7"/>
  <c r="C65" i="7"/>
  <c r="D64" i="7"/>
  <c r="C64" i="7"/>
  <c r="D63" i="7"/>
  <c r="C63" i="7"/>
  <c r="D62" i="7"/>
  <c r="C62" i="7"/>
  <c r="D61" i="7"/>
  <c r="C61" i="7"/>
  <c r="D60" i="7"/>
  <c r="C60" i="7"/>
  <c r="D59" i="7"/>
  <c r="C59" i="7"/>
  <c r="D58" i="7"/>
  <c r="C58" i="7"/>
  <c r="D57" i="7"/>
  <c r="C57" i="7"/>
  <c r="D56" i="7"/>
  <c r="C56" i="7"/>
  <c r="D55" i="7"/>
  <c r="C55" i="7"/>
  <c r="D54" i="7"/>
  <c r="C54" i="7"/>
  <c r="D53" i="7"/>
  <c r="C53" i="7"/>
  <c r="D52" i="7"/>
  <c r="C52" i="7"/>
  <c r="D51" i="7"/>
  <c r="C51" i="7"/>
  <c r="D50" i="7"/>
  <c r="C50" i="7"/>
  <c r="D49" i="7"/>
  <c r="C49" i="7"/>
  <c r="D48" i="7"/>
  <c r="C48" i="7"/>
  <c r="D47" i="7"/>
  <c r="C47" i="7"/>
  <c r="D46" i="7"/>
  <c r="C46" i="7"/>
  <c r="D45" i="7"/>
  <c r="C45" i="7"/>
  <c r="D44" i="7"/>
  <c r="C44" i="7"/>
  <c r="D43" i="7"/>
  <c r="C43" i="7"/>
  <c r="D42" i="7"/>
  <c r="C42" i="7"/>
  <c r="D41" i="7"/>
  <c r="C41" i="7"/>
  <c r="D40" i="7"/>
  <c r="C40" i="7"/>
  <c r="D39" i="7"/>
  <c r="C39" i="7"/>
  <c r="D38" i="7"/>
  <c r="C38" i="7"/>
  <c r="D37" i="7"/>
  <c r="C37" i="7"/>
  <c r="D36" i="7"/>
  <c r="C36" i="7"/>
  <c r="D35" i="7"/>
  <c r="C35" i="7"/>
  <c r="C13" i="7" s="1" a="1"/>
  <c r="C13" i="7" s="1"/>
  <c r="E8" i="7"/>
  <c r="E5" i="7"/>
  <c r="E16" i="6"/>
  <c r="E15" i="6"/>
  <c r="E14" i="6"/>
  <c r="E13" i="6"/>
  <c r="D8" i="6"/>
  <c r="D5" i="6"/>
  <c r="E14" i="5"/>
  <c r="K77" i="1"/>
  <c r="I77" i="1"/>
  <c r="E77" i="1"/>
  <c r="AI76" i="1"/>
  <c r="AG56" i="4" s="1"/>
  <c r="AI75" i="1"/>
  <c r="AG55" i="4" s="1"/>
  <c r="AI74" i="1"/>
  <c r="AG54" i="4" s="1"/>
  <c r="AI73" i="1"/>
  <c r="AG53" i="4" s="1"/>
  <c r="AI72" i="1"/>
  <c r="AG52" i="4" s="1"/>
  <c r="K66" i="1"/>
  <c r="I66" i="1"/>
  <c r="H48" i="4" s="1"/>
  <c r="E66" i="1"/>
  <c r="E48" i="4" s="1"/>
  <c r="D66" i="1"/>
  <c r="C66" i="1"/>
  <c r="AI65" i="1"/>
  <c r="AI64" i="1"/>
  <c r="AI63" i="1"/>
  <c r="AI62" i="1"/>
  <c r="AI61" i="1"/>
  <c r="AI60" i="1"/>
  <c r="AI59" i="1"/>
  <c r="AI58" i="1"/>
  <c r="AI57" i="1"/>
  <c r="AI56" i="1"/>
  <c r="AI55" i="1"/>
  <c r="AI54" i="1"/>
  <c r="AI53" i="1"/>
  <c r="AI52" i="1"/>
  <c r="AI51" i="1"/>
  <c r="AI50" i="1"/>
  <c r="AI49" i="1"/>
  <c r="AI48" i="1"/>
  <c r="AI47" i="1"/>
  <c r="AI46" i="1"/>
  <c r="AI45" i="1"/>
  <c r="AI44" i="1"/>
  <c r="AI43" i="1"/>
  <c r="AI42" i="1"/>
  <c r="AI41" i="1"/>
  <c r="AI40" i="1"/>
  <c r="AI39" i="1"/>
  <c r="AI38" i="1"/>
  <c r="AI37" i="1"/>
  <c r="AI36" i="1"/>
  <c r="AI35" i="1"/>
  <c r="AI34" i="1"/>
  <c r="AI33" i="1"/>
  <c r="AI32" i="1"/>
  <c r="AI31" i="1"/>
  <c r="AI30" i="1"/>
  <c r="AI29" i="1"/>
  <c r="AI28" i="1"/>
  <c r="AI27" i="1"/>
  <c r="AI26" i="1"/>
  <c r="AI25" i="1"/>
  <c r="AI24" i="1"/>
  <c r="AI23" i="1"/>
  <c r="AI22" i="1"/>
  <c r="AI21" i="1"/>
  <c r="AG3" i="4" s="1"/>
  <c r="D7" i="6"/>
  <c r="K143" i="4" l="1"/>
  <c r="K132" i="4"/>
  <c r="Y52" i="4"/>
  <c r="K118" i="4"/>
  <c r="L54" i="5" s="1"/>
  <c r="Z3" i="4"/>
  <c r="O88" i="4" s="1"/>
  <c r="K88" i="4"/>
  <c r="L24" i="5" s="1"/>
  <c r="Y3" i="4"/>
  <c r="K90" i="4"/>
  <c r="O85" i="4"/>
  <c r="F50" i="7"/>
  <c r="AG18" i="4"/>
  <c r="F52" i="7"/>
  <c r="AG20" i="4"/>
  <c r="F54" i="7"/>
  <c r="AG22" i="4"/>
  <c r="F56" i="7"/>
  <c r="AG24" i="4"/>
  <c r="F58" i="7"/>
  <c r="AG26" i="4"/>
  <c r="F60" i="7"/>
  <c r="AG28" i="4"/>
  <c r="F62" i="7"/>
  <c r="AG30" i="4"/>
  <c r="F64" i="7"/>
  <c r="AG32" i="4"/>
  <c r="F66" i="7"/>
  <c r="AG34" i="4"/>
  <c r="F68" i="7"/>
  <c r="AG36" i="4"/>
  <c r="F70" i="7"/>
  <c r="AG38" i="4"/>
  <c r="F72" i="7"/>
  <c r="AG40" i="4"/>
  <c r="F74" i="7"/>
  <c r="AG42" i="4"/>
  <c r="F76" i="7"/>
  <c r="AG44" i="4"/>
  <c r="F78" i="7"/>
  <c r="AG46" i="4"/>
  <c r="F49" i="7"/>
  <c r="AG17" i="4"/>
  <c r="F51" i="7"/>
  <c r="AG19" i="4"/>
  <c r="F53" i="7"/>
  <c r="AG21" i="4"/>
  <c r="F55" i="7"/>
  <c r="AG23" i="4"/>
  <c r="F57" i="7"/>
  <c r="AG25" i="4"/>
  <c r="F59" i="7"/>
  <c r="AG27" i="4"/>
  <c r="F61" i="7"/>
  <c r="AG29" i="4"/>
  <c r="F63" i="7"/>
  <c r="AG31" i="4"/>
  <c r="F65" i="7"/>
  <c r="AG33" i="4"/>
  <c r="F67" i="7"/>
  <c r="AG35" i="4"/>
  <c r="F69" i="7"/>
  <c r="AG37" i="4"/>
  <c r="F71" i="7"/>
  <c r="AG39" i="4"/>
  <c r="F73" i="7"/>
  <c r="AG41" i="4"/>
  <c r="F75" i="7"/>
  <c r="AG43" i="4"/>
  <c r="F77" i="7"/>
  <c r="AG45" i="4"/>
  <c r="F79" i="7"/>
  <c r="AG47" i="4"/>
  <c r="F48" i="7"/>
  <c r="AG16" i="4"/>
  <c r="F39" i="7"/>
  <c r="AG7" i="4"/>
  <c r="F41" i="7"/>
  <c r="AG9" i="4"/>
  <c r="F43" i="7"/>
  <c r="AG11" i="4"/>
  <c r="F45" i="7"/>
  <c r="AG13" i="4"/>
  <c r="F47" i="7"/>
  <c r="AG15" i="4"/>
  <c r="F40" i="7"/>
  <c r="AG8" i="4"/>
  <c r="F42" i="7"/>
  <c r="AG10" i="4"/>
  <c r="F44" i="7"/>
  <c r="AG12" i="4"/>
  <c r="F46" i="7"/>
  <c r="AG14" i="4"/>
  <c r="F36" i="7"/>
  <c r="AG4" i="4"/>
  <c r="F38" i="7"/>
  <c r="AG6" i="4"/>
  <c r="F37" i="7"/>
  <c r="AG5" i="4"/>
  <c r="B21" i="5"/>
  <c r="E17" i="6"/>
  <c r="B53" i="5"/>
  <c r="B26" i="5"/>
  <c r="B50" i="5"/>
  <c r="B45" i="5"/>
  <c r="B24" i="5"/>
  <c r="B27" i="5"/>
  <c r="B35" i="5"/>
  <c r="B43" i="5"/>
  <c r="B51" i="5"/>
  <c r="B59" i="5"/>
  <c r="B42" i="5"/>
  <c r="B67" i="5"/>
  <c r="B66" i="5"/>
  <c r="B69" i="5"/>
  <c r="B34" i="5"/>
  <c r="B37" i="5"/>
  <c r="B61" i="5"/>
  <c r="B32" i="5"/>
  <c r="B22" i="5"/>
  <c r="B30" i="5"/>
  <c r="B38" i="5"/>
  <c r="B46" i="5"/>
  <c r="B54" i="5"/>
  <c r="B65" i="5"/>
  <c r="B25" i="5"/>
  <c r="B33" i="5"/>
  <c r="B41" i="5"/>
  <c r="B49" i="5"/>
  <c r="B57" i="5"/>
  <c r="B62" i="5"/>
  <c r="B58" i="5"/>
  <c r="B63" i="5"/>
  <c r="B29" i="5"/>
  <c r="B40" i="5"/>
  <c r="B48" i="5"/>
  <c r="B56" i="5"/>
  <c r="B28" i="5"/>
  <c r="B36" i="5"/>
  <c r="B44" i="5"/>
  <c r="B52" i="5"/>
  <c r="B60" i="5"/>
  <c r="B64" i="5"/>
  <c r="B68" i="5"/>
  <c r="B23" i="5"/>
  <c r="B31" i="5"/>
  <c r="B39" i="5"/>
  <c r="B47" i="5"/>
  <c r="B55" i="5"/>
  <c r="AI77" i="1"/>
  <c r="AI68" i="1"/>
  <c r="E78" i="1"/>
  <c r="AI66" i="1"/>
  <c r="F35" i="7"/>
  <c r="E18" i="6"/>
  <c r="C14" i="7" a="1"/>
  <c r="C14" i="7" s="1"/>
  <c r="E7" i="7"/>
  <c r="N90" i="4" l="1"/>
  <c r="L26" i="5"/>
  <c r="O92" i="4"/>
  <c r="N88" i="4"/>
  <c r="N118" i="4"/>
  <c r="N132" i="4"/>
  <c r="N143" i="4"/>
  <c r="N92" i="4"/>
  <c r="K94" i="4"/>
  <c r="L30" i="5" s="1"/>
  <c r="O93" i="4"/>
  <c r="K93" i="4"/>
  <c r="L29" i="5" s="1"/>
  <c r="O86" i="4"/>
  <c r="K86" i="4"/>
  <c r="L22" i="5" s="1"/>
  <c r="AI78" i="1"/>
  <c r="AG58" i="4" s="1"/>
  <c r="AG57" i="4"/>
  <c r="F80" i="7"/>
  <c r="AI67" i="1"/>
  <c r="AG49" i="4" s="1"/>
  <c r="AG48" i="4"/>
  <c r="E24" i="6"/>
  <c r="E13" i="7"/>
  <c r="E14" i="7"/>
  <c r="C15" i="7" a="1"/>
  <c r="C15" i="7" s="1"/>
  <c r="E15" i="7" s="1"/>
  <c r="N86" i="4" l="1"/>
  <c r="N93" i="4"/>
  <c r="N94" i="4"/>
  <c r="O94" i="4"/>
  <c r="C16" i="7" a="1"/>
  <c r="C16" i="7" s="1"/>
  <c r="E16" i="7" s="1"/>
  <c r="C17" i="7" l="1" a="1"/>
  <c r="C17" i="7" s="1"/>
  <c r="E17" i="7" s="1"/>
  <c r="L115" i="5" l="1"/>
  <c r="L117" i="5" s="1"/>
  <c r="L122" i="5" s="1"/>
  <c r="C18" i="7" a="1"/>
  <c r="C18" i="7" s="1"/>
  <c r="E18" i="7" s="1"/>
  <c r="AI89" i="1" l="1"/>
  <c r="AI91" i="1" s="1"/>
  <c r="C19" i="7" a="1"/>
  <c r="C19" i="7" s="1"/>
  <c r="E19" i="7" l="1"/>
  <c r="C20" i="7" a="1"/>
  <c r="C20" i="7" s="1"/>
  <c r="E20" i="7" l="1"/>
  <c r="C21" i="7" a="1"/>
  <c r="C21" i="7" s="1"/>
  <c r="E21" i="7" s="1"/>
  <c r="E22" i="7" l="1"/>
</calcChain>
</file>

<file path=xl/sharedStrings.xml><?xml version="1.0" encoding="utf-8"?>
<sst xmlns="http://schemas.openxmlformats.org/spreadsheetml/2006/main" count="930" uniqueCount="429">
  <si>
    <t>«УЛЬТРА»</t>
  </si>
  <si>
    <t xml:space="preserve">                 </t>
  </si>
  <si>
    <t>095 817 09 96 МТС, 093 539 99 06 Life</t>
  </si>
  <si>
    <t>№ п/п</t>
  </si>
  <si>
    <t>Дата приема</t>
  </si>
  <si>
    <t>Дата сдачи</t>
  </si>
  <si>
    <t>кол-во</t>
  </si>
  <si>
    <t>цена</t>
  </si>
  <si>
    <t>Итого</t>
  </si>
  <si>
    <t>Всего по заказу,грн</t>
  </si>
  <si>
    <t>%</t>
  </si>
  <si>
    <t>Предоплата,грн</t>
  </si>
  <si>
    <t>Остаток,грн</t>
  </si>
  <si>
    <t>Размеры, количество и тип покраски утверждаю ___________________________</t>
  </si>
  <si>
    <t>Заказ принял, к количеству и качеству претензий не имею__________________</t>
  </si>
  <si>
    <t>Всего деталей</t>
  </si>
  <si>
    <t>COLOR</t>
  </si>
  <si>
    <t>РАСЧЕТ ПО ЗАКАЗУ</t>
  </si>
  <si>
    <t>Дата</t>
  </si>
  <si>
    <t>e-mail</t>
  </si>
  <si>
    <t>Матовое покрытие, МДФ 16мм</t>
  </si>
  <si>
    <t>Матовое покрытие, МДФ 19мм</t>
  </si>
  <si>
    <t>Глянцевое покрытие, МДФ 16мм</t>
  </si>
  <si>
    <t>Глянцевое покрытие, МДФ 19мм</t>
  </si>
  <si>
    <t>грн/шт</t>
  </si>
  <si>
    <t>грн/м²</t>
  </si>
  <si>
    <t>Покрытие TS (Софт), МДФ 16мм</t>
  </si>
  <si>
    <t>Покрытие TS (Софт), МДФ 19мм</t>
  </si>
  <si>
    <t>Металлик / Спецэффект, МДФ 16мм</t>
  </si>
  <si>
    <t>Металлик / Спецэффект, МДФ 19мм</t>
  </si>
  <si>
    <t>Velvet (Резина), МДФ 16мм</t>
  </si>
  <si>
    <t>Velvet (Резина), МДФ 19мм</t>
  </si>
  <si>
    <t>грн/м.п.</t>
  </si>
  <si>
    <t>грн/шт.</t>
  </si>
  <si>
    <t>Rфасад TS (Софт), МДФ 16мм</t>
  </si>
  <si>
    <t>Rфасад TS (Софт), МДФ 19мм</t>
  </si>
  <si>
    <t>Rфасад Глянцевый, МДФ 19 мм</t>
  </si>
  <si>
    <t>Rфасад Глянцевый, МДФ 16 мм</t>
  </si>
  <si>
    <t>Rфасад Матовый, МДФ 19 мм</t>
  </si>
  <si>
    <t>Rфасад Матовый, МДФ 16 мм</t>
  </si>
  <si>
    <t>Rфасад Металлик / Спецэффект, МДФ 16мм</t>
  </si>
  <si>
    <t>Rфасад Металлик / Спецэффект, МДФ 19мм</t>
  </si>
  <si>
    <t>Rфасад Velvet (Резина), МДФ 16мм</t>
  </si>
  <si>
    <t>Rфасад Velvet (Резина), МДФ 19мм</t>
  </si>
  <si>
    <t>Тип покрытия</t>
  </si>
  <si>
    <t>R=1,5</t>
  </si>
  <si>
    <t>R=2</t>
  </si>
  <si>
    <t>R=3</t>
  </si>
  <si>
    <t>R=5</t>
  </si>
  <si>
    <t>R=10</t>
  </si>
  <si>
    <t>Мыло</t>
  </si>
  <si>
    <t>Софт(TS)</t>
  </si>
  <si>
    <t>Перл.зол.</t>
  </si>
  <si>
    <t>Ступ.</t>
  </si>
  <si>
    <t>e-mail: info@ultrafasad.com</t>
  </si>
  <si>
    <t>сайт:http://ultrafasad.com</t>
  </si>
  <si>
    <t>МДФ</t>
  </si>
  <si>
    <t>Сторона ручки J</t>
  </si>
  <si>
    <t>Верх</t>
  </si>
  <si>
    <t>Низ</t>
  </si>
  <si>
    <t>Право</t>
  </si>
  <si>
    <t>Ліво</t>
  </si>
  <si>
    <t>RAL</t>
  </si>
  <si>
    <t>NCS</t>
  </si>
  <si>
    <t>MOBIHEL</t>
  </si>
  <si>
    <t>AUTOCOLOR</t>
  </si>
  <si>
    <t>UNICOLOR</t>
  </si>
  <si>
    <t>фабрика меблевих фасадів</t>
  </si>
  <si>
    <t>068 775 28 77 КиЇвСтар</t>
  </si>
  <si>
    <t>серія</t>
  </si>
  <si>
    <t xml:space="preserve">Замовник (Компанія, ПІБ) </t>
  </si>
  <si>
    <t>Контактні телефони</t>
  </si>
  <si>
    <t>Місто</t>
  </si>
  <si>
    <t>ЗАМОВЛЕННЯ №</t>
  </si>
  <si>
    <t>( Номер замовлення заповнює "Ультра" )</t>
  </si>
  <si>
    <t>ВАЖЛИВО! Цей товар обміну та поверненню НЕ ПІДЛЯГАЄ.</t>
  </si>
  <si>
    <t>У стовпці "Примітка" вказуйте всі не стандартні роботи, а також Карнизи, Чверть 10х4, Грати та ін.</t>
  </si>
  <si>
    <t>При дозамовленні фарбованих фасадів попадання у колір НЕ ГАРАНТУЄТЬСЯ.</t>
  </si>
  <si>
    <t>Зміна розмірів, товщини, кольору, типу фарбування після погодження замовлення НЕМОЖЛИВО. Лише оформлення нового замовлення.</t>
  </si>
  <si>
    <t>Примітка</t>
  </si>
  <si>
    <t>Висота (розмір по вертикалі), мм</t>
  </si>
  <si>
    <t>Кіл-ть, шт</t>
  </si>
  <si>
    <t>Ширина (розмір по горизонталі), мм</t>
  </si>
  <si>
    <t>Товщина МДФ, мм</t>
  </si>
  <si>
    <t>Ручка тип "J" збоку</t>
  </si>
  <si>
    <t>Колір фарби за каталогом</t>
  </si>
  <si>
    <t>Спецефект</t>
  </si>
  <si>
    <t>Зворотня сторона</t>
  </si>
  <si>
    <t>Площа,м²</t>
  </si>
  <si>
    <t xml:space="preserve">Фрезерування кромки в мм </t>
  </si>
  <si>
    <t>Лицьова сторона</t>
  </si>
  <si>
    <t>J № 1</t>
  </si>
  <si>
    <t>J № 2</t>
  </si>
  <si>
    <t>J № 3</t>
  </si>
  <si>
    <t>J № 4</t>
  </si>
  <si>
    <t>J № 5</t>
  </si>
  <si>
    <t>J № 6</t>
  </si>
  <si>
    <t>J № 7</t>
  </si>
  <si>
    <t>J № 2L</t>
  </si>
  <si>
    <t>J № 3L</t>
  </si>
  <si>
    <t>J № 4L</t>
  </si>
  <si>
    <t>J № 5L</t>
  </si>
  <si>
    <t>J № 2R</t>
  </si>
  <si>
    <t>J № 3R</t>
  </si>
  <si>
    <t>J № 4R</t>
  </si>
  <si>
    <t>J № 5R</t>
  </si>
  <si>
    <t>Од.вим.</t>
  </si>
  <si>
    <t xml:space="preserve">Ручка </t>
  </si>
  <si>
    <t>45 град.</t>
  </si>
  <si>
    <t>м.п.</t>
  </si>
  <si>
    <t>шт.</t>
  </si>
  <si>
    <t>шт./м.п.</t>
  </si>
  <si>
    <t>грн.</t>
  </si>
  <si>
    <t>Плоские 10,16</t>
  </si>
  <si>
    <t>Плоские 19</t>
  </si>
  <si>
    <t>Фарбовані плоскі та радіусні меблеві фасади з МДФ</t>
  </si>
  <si>
    <t>Серія "COLOR"</t>
  </si>
  <si>
    <t>Ціну наведено у гривні за 1 м.кв</t>
  </si>
  <si>
    <t>Одностороннє покриття фасадів
(зворотний бік - білий ламінат)</t>
  </si>
  <si>
    <t>Плоскі 10, 16 мм</t>
  </si>
  <si>
    <t>Плоскі 19 мм</t>
  </si>
  <si>
    <t>Радиусні R284 мм, R300 мм; товщина МДФ 16 мм</t>
  </si>
  <si>
    <t>Радиусні R284 мм, R300 мм; товщина МДФ 19 мм</t>
  </si>
  <si>
    <t>Покриття TS (СОФТ)</t>
  </si>
  <si>
    <t>Примітки:</t>
  </si>
  <si>
    <t>1.</t>
  </si>
  <si>
    <t>Фасади виготовляються за будь-якими розмірами Замовника</t>
  </si>
  <si>
    <t>2.</t>
  </si>
  <si>
    <t>Замовлення приймаються ТІЛЬКИ на фірмових бланках</t>
  </si>
  <si>
    <t>3.</t>
  </si>
  <si>
    <t>4.</t>
  </si>
  <si>
    <t>5.</t>
  </si>
  <si>
    <t>6.</t>
  </si>
  <si>
    <t>Термінове виготовлення замовлень +20% до вартості</t>
  </si>
  <si>
    <t>7.</t>
  </si>
  <si>
    <t>Додаткові операції</t>
  </si>
  <si>
    <t>Фарбування другої сторони виробу</t>
  </si>
  <si>
    <t>Фарбування МДФ із матеріалу Замовника</t>
  </si>
  <si>
    <t>Виготовлення вітрини у плоскому фасаді, ширина поля 65 мм</t>
  </si>
  <si>
    <t>Виготовлення вітрини "шпрос" у плоскому фасаді, ширина перемичок 15мм</t>
  </si>
  <si>
    <t>Виготовлення вітрини в радіусному фасаді з шириною поля 65 мм</t>
  </si>
  <si>
    <t>Вибірка під скло, ширина 10 мм, глибина 4 мм</t>
  </si>
  <si>
    <t>Выборка под стекло, ширина 10 мм, глубина 4 мм на витрине "шпрос"</t>
  </si>
  <si>
    <t>Фрезерування під врізну ручку</t>
  </si>
  <si>
    <t>Фрезерування під євро ручку типу "45°" (тільки для плоских фасадів)</t>
  </si>
  <si>
    <t>Фрезерування під євро ручку типу "J" (тільки для плоских фасадів МДФ ≥ 19мм)</t>
  </si>
  <si>
    <t>Фрезерування під тупикову євро ручку типу "J"</t>
  </si>
  <si>
    <t>Фрезерування під євро ручку типу "J" на радіусних фасадах</t>
  </si>
  <si>
    <t>Фрезерування отвору під петлю 35 мм</t>
  </si>
  <si>
    <t>Пробне фарбування зразка (розмір 200 мм x 150 мм)</t>
  </si>
  <si>
    <t>Підбір кольору під зразок Замовника</t>
  </si>
  <si>
    <t>Потовщення плоскої деталі методом склеювання МДФ завтовшки шару +6 мм,
+8 мм, +10 мм, +16 мм, +19 мм</t>
  </si>
  <si>
    <t>Двоколірне фарбування (BiColor) з роздільним пазом</t>
  </si>
  <si>
    <t>Криволінійний різ, товщина деталі до 19 мм</t>
  </si>
  <si>
    <t>Кутове з'єднання тип А, тип Б (див. тех. інформацію на сайті)</t>
  </si>
  <si>
    <r>
      <t xml:space="preserve">Кутове з'єднання тип А, тип Б (див. тех. інформацію на сайті) </t>
    </r>
    <r>
      <rPr>
        <b/>
        <sz val="10"/>
        <rFont val="Arial"/>
        <family val="2"/>
        <charset val="204"/>
      </rPr>
      <t xml:space="preserve">в зборі (до 150мм) </t>
    </r>
  </si>
  <si>
    <t>Вставка шпонована в ручку "J" без вклеювання</t>
  </si>
  <si>
    <t>Фарбування ручки "J" в інший колір*</t>
  </si>
  <si>
    <t>Комплект фарби (100 грам)</t>
  </si>
  <si>
    <t>Коефіцієнт на погонаж***</t>
  </si>
  <si>
    <t>Патинування гладких деталей</t>
  </si>
  <si>
    <t>Тонування гладких деталей</t>
  </si>
  <si>
    <t>Каталоги RAL, NCS, Mobihel (металіки + перламутри), AUTOCOLOR (хамелеони + глітери) Ціна - договірна.</t>
  </si>
  <si>
    <r>
      <t xml:space="preserve">*-при фарбуванні ручки "J" в інший колір виконується додаткове нанесення шару лака, тому ціна покриття такого замовлення 
</t>
    </r>
    <r>
      <rPr>
        <b/>
        <sz val="12"/>
        <rFont val="Arial"/>
        <family val="2"/>
        <charset val="204"/>
      </rPr>
      <t>рахується як</t>
    </r>
    <r>
      <rPr>
        <b/>
        <sz val="10"/>
        <rFont val="Arial"/>
        <family val="2"/>
        <charset val="204"/>
      </rPr>
      <t xml:space="preserve"> ГЛЯНЕЦЬ !</t>
    </r>
  </si>
  <si>
    <r>
      <t xml:space="preserve">**-якщо середня кількість деталей в 1 м.кв перевищує 10 шт., вартість такого замовлення </t>
    </r>
    <r>
      <rPr>
        <b/>
        <sz val="12"/>
        <rFont val="Arial"/>
        <family val="2"/>
        <charset val="204"/>
      </rPr>
      <t>розраховується окремо !</t>
    </r>
  </si>
  <si>
    <t>***- якщо в замовленні є деталі розміром меньще ніж 100мм. Кількість більше 10шт.</t>
  </si>
  <si>
    <t>грн від вартості 1 м.кв</t>
  </si>
  <si>
    <t xml:space="preserve">&lt; 1000 мм / грн/шт </t>
  </si>
  <si>
    <t>&gt;1000 мм/ грн/шт</t>
  </si>
  <si>
    <t xml:space="preserve"> грн/шт</t>
  </si>
  <si>
    <t xml:space="preserve"> грн/м.пог</t>
  </si>
  <si>
    <t xml:space="preserve"> грн/отв</t>
  </si>
  <si>
    <t>Вартість потовщення одного шару за грн/м.кв</t>
  </si>
  <si>
    <t>до вартості за 1 м.кв</t>
  </si>
  <si>
    <t>грн за 1 м.кв</t>
  </si>
  <si>
    <t>Фарбування тильної сторони шириною 30 мм</t>
  </si>
  <si>
    <t>Фарбування тильної сторони шириною 50 мм</t>
  </si>
  <si>
    <t>Фарбування тильної сторони шириною 100 мм</t>
  </si>
  <si>
    <t>грн/м.пог</t>
  </si>
  <si>
    <t>Криволінійний різ, товщина деталі більше 19 мм</t>
  </si>
  <si>
    <t xml:space="preserve"> грн/шт (110 грн один срез 45°)</t>
  </si>
  <si>
    <t>РОЗМІРИ ДЕТАЛЕЙ (РАДІУСНІ)</t>
  </si>
  <si>
    <t>Важливо!!!</t>
  </si>
  <si>
    <t>Фасади, розташовані один над одним (в одну лінію), необхідно відзначити у примітці та надати креслення-схему!</t>
  </si>
  <si>
    <t>Білий базовий</t>
  </si>
  <si>
    <t>Ламінат</t>
  </si>
  <si>
    <t>Металік</t>
  </si>
  <si>
    <t>Зор.н.зол.</t>
  </si>
  <si>
    <t>Гума</t>
  </si>
  <si>
    <t>Матове</t>
  </si>
  <si>
    <t>Глянець</t>
  </si>
  <si>
    <t>2-х кол.х.</t>
  </si>
  <si>
    <t>3-х кол.х.</t>
  </si>
  <si>
    <t>Перл.ср.</t>
  </si>
  <si>
    <t>Зор.н.ср.</t>
  </si>
  <si>
    <t>Зор.н.різн.</t>
  </si>
  <si>
    <t>Перли</t>
  </si>
  <si>
    <t>склейка</t>
  </si>
  <si>
    <t>Пряма з чвертю</t>
  </si>
  <si>
    <t>Пряма без чверті</t>
  </si>
  <si>
    <t>Шпрос з чвертю</t>
  </si>
  <si>
    <t>Шпрос без чверті</t>
  </si>
  <si>
    <t>Вітрина</t>
  </si>
  <si>
    <t>Отвір під петлю (35 мм)</t>
  </si>
  <si>
    <t>Фарбування тільної сторони</t>
  </si>
  <si>
    <t>Ні</t>
  </si>
  <si>
    <t>Фарбування тильної сторони</t>
  </si>
  <si>
    <t>30 мм</t>
  </si>
  <si>
    <t>50 мм</t>
  </si>
  <si>
    <t>100 мм</t>
  </si>
  <si>
    <t>НІ</t>
  </si>
  <si>
    <t>Так</t>
  </si>
  <si>
    <t>Матове покриття до 16 мм</t>
  </si>
  <si>
    <t>Матове покриття 19 мм</t>
  </si>
  <si>
    <t>Софт покриття до 16 мм</t>
  </si>
  <si>
    <t>Софт покриття 19 мм</t>
  </si>
  <si>
    <t>Глянцеве покриття з поліруванням до 16 мм</t>
  </si>
  <si>
    <t>Глянцеве покриття з поліруванням 19 мм</t>
  </si>
  <si>
    <t>Спецефект до 16 мм</t>
  </si>
  <si>
    <t>Спецефект 19 мм</t>
  </si>
  <si>
    <t>Хамелеон 2-х кольоровий + глянець з поліруванням до 16 мм</t>
  </si>
  <si>
    <t>Хамелеон 2-х кольоровий + глянець з поліруванням 19 мм</t>
  </si>
  <si>
    <t>Хамелеон 3-х кольоровий + глянець з поліруванням до 16 мм</t>
  </si>
  <si>
    <t>Хамелеон 3-х кольоровий + глянець з поліруванням 19 мм</t>
  </si>
  <si>
    <t>Фотодрук + глянець з поліруванням до 16 мм</t>
  </si>
  <si>
    <t>Фотодрук + глянець з поліруванням 19 мм</t>
  </si>
  <si>
    <t>Кіл-ть</t>
  </si>
  <si>
    <t>16мм</t>
  </si>
  <si>
    <t>19 мм</t>
  </si>
  <si>
    <t>Рахунок на виготовлення ФАРБОВАНИХ фасадів</t>
  </si>
  <si>
    <t>ЗАМОВЛЕННЯ №:</t>
  </si>
  <si>
    <t>Наёменування</t>
  </si>
  <si>
    <t>Сума, грн.</t>
  </si>
  <si>
    <t>Ціна за од.</t>
  </si>
  <si>
    <t>% знижки:</t>
  </si>
  <si>
    <t>Разом,грн.</t>
  </si>
  <si>
    <t>Размо зі знижкою, грн.</t>
  </si>
  <si>
    <t>Передплата, грн.</t>
  </si>
  <si>
    <t>Залишок,грн.</t>
  </si>
  <si>
    <t>Дата:</t>
  </si>
  <si>
    <t>Замовник (Компанія, ПІБ):</t>
  </si>
  <si>
    <t>Контактні телефони:</t>
  </si>
  <si>
    <t>Місто:</t>
  </si>
  <si>
    <t>e-mail:</t>
  </si>
  <si>
    <t xml:space="preserve">Матове покриття радіусний фасад 16 мм </t>
  </si>
  <si>
    <t>Матове покриття радіусний фасад 19 мм</t>
  </si>
  <si>
    <t>Софт покриття радіусний фасад 16 мм</t>
  </si>
  <si>
    <t>Софт покриття радіусний фасад 19 мм</t>
  </si>
  <si>
    <t>Глянцеве покриття з поліруванням радіусний фасад 16 мм</t>
  </si>
  <si>
    <t>Глянцеве покриття з поліруванням радіусний фасад 19 мм</t>
  </si>
  <si>
    <t>Спецефект радіусний фасад 16 мм</t>
  </si>
  <si>
    <t>Спецефект радіусний фасад 19 мм</t>
  </si>
  <si>
    <t>Хамелеон 2-х кольоровий + глянець з поліруванням радіусний фасад 16 мм</t>
  </si>
  <si>
    <t>Хамелеон 2-х кольоровий + глянець з поліруванням радіусний фасад 19 мм</t>
  </si>
  <si>
    <t>Хамелеон 3-х кольоровий + глянець з поліруванням радіусний фасад 16 мм</t>
  </si>
  <si>
    <t>Хамелеон 3-х кольоровий + глянець з поліруванням радіусний фасад 19 мм</t>
  </si>
  <si>
    <t>Вітрина плоский фасад</t>
  </si>
  <si>
    <t>Вітрина радіусний фасад</t>
  </si>
  <si>
    <t>Ручка тип "J" пряма</t>
  </si>
  <si>
    <t>Ручка тип "J" тупікова</t>
  </si>
  <si>
    <t>Ручка 45 град</t>
  </si>
  <si>
    <t>Тильне покриття</t>
  </si>
  <si>
    <t>чотири</t>
  </si>
  <si>
    <t>шість</t>
  </si>
  <si>
    <t>вісім</t>
  </si>
  <si>
    <t>десять</t>
  </si>
  <si>
    <t>шістнадцять</t>
  </si>
  <si>
    <t>Дев'ятнадцять</t>
  </si>
  <si>
    <t>МДФ 4 мм</t>
  </si>
  <si>
    <t>МДФ 6 мм</t>
  </si>
  <si>
    <t>МДФ 8 мм</t>
  </si>
  <si>
    <t>МДФ 10 мм</t>
  </si>
  <si>
    <t>МДФ 16 мм</t>
  </si>
  <si>
    <t>МДФ 19 мм</t>
  </si>
  <si>
    <t>м.кв.</t>
  </si>
  <si>
    <t>Заявка на материал МДФ №:</t>
  </si>
  <si>
    <t>Заявка на краску №:</t>
  </si>
  <si>
    <t>Расход на 1 м.кв./л.</t>
  </si>
  <si>
    <t>л.</t>
  </si>
  <si>
    <t>Разом, л:</t>
  </si>
  <si>
    <t>Матове покриття з патиною</t>
  </si>
  <si>
    <t>Глянцеве покриття з патиною</t>
  </si>
  <si>
    <t>Форма фасаду,Фрезерований за каталогом Ультра №… або Гладкий</t>
  </si>
  <si>
    <t>Патина Колір за каталогом "Ультра"</t>
  </si>
  <si>
    <t>№ фасадов</t>
  </si>
  <si>
    <t>кат.</t>
  </si>
  <si>
    <t>гладкий</t>
  </si>
  <si>
    <t>Покрыття</t>
  </si>
  <si>
    <t>Глянцевий DECAPE</t>
  </si>
  <si>
    <t>Покриття лицьової сторони: ШПОН Дуб,Фарба</t>
  </si>
  <si>
    <t>Дуб тангент.</t>
  </si>
  <si>
    <t>Ясень радіал.</t>
  </si>
  <si>
    <t>Дуб радіал</t>
  </si>
  <si>
    <t>Матовий DECAPE</t>
  </si>
  <si>
    <t>м/п</t>
  </si>
  <si>
    <t>грн</t>
  </si>
  <si>
    <t>Тонування+матовий лак (відкрита пора)</t>
  </si>
  <si>
    <t>Матова фарба відкрита пора</t>
  </si>
  <si>
    <t>Матова фарба + патина+матовий лак (відкрита пора)</t>
  </si>
  <si>
    <t>Тонування+патина+матовий лак (відкрита пора)</t>
  </si>
  <si>
    <t>Фарбування ручки тип "J" в інший колір</t>
  </si>
  <si>
    <t>Шпон назва</t>
  </si>
  <si>
    <t>Шпон Артикул</t>
  </si>
  <si>
    <t>Лицьова сторона (тактильний ефект)</t>
  </si>
  <si>
    <t>Зворотня сторона (тактильний ефект)</t>
  </si>
  <si>
    <t>Шпон       Дуб / Ясень</t>
  </si>
  <si>
    <t>Отвір під навіси (35 мм), шт</t>
  </si>
  <si>
    <t>Навіси по
стороні, мм</t>
  </si>
  <si>
    <t>Вітрина
(тип)</t>
  </si>
  <si>
    <t>Шпонована
вставка в
ручку j
(назва шпону)</t>
  </si>
  <si>
    <t>Цвет краски по каталогу: RAL, NCS
Тонировка
(морилка) по каталогу "Ультра"</t>
  </si>
  <si>
    <t>Зворотня сторона
(тип фарбування)</t>
  </si>
  <si>
    <t>Лицьова сторона
(тип фарбування)</t>
  </si>
  <si>
    <t>095 817 09 96 МТС</t>
  </si>
  <si>
    <t>Фотодрук</t>
  </si>
  <si>
    <t>Заявка на виготовлення ФАРБОВАНИХ фасадів</t>
  </si>
  <si>
    <t>сайт: ultrafasad.com</t>
  </si>
  <si>
    <t>Графіт</t>
  </si>
  <si>
    <t>Схема</t>
  </si>
  <si>
    <t>Підбір</t>
  </si>
  <si>
    <t>Висота по 1-й стороні</t>
  </si>
  <si>
    <t>Висота по 2-й стороні</t>
  </si>
  <si>
    <t>Ширина по 1-й стороні</t>
  </si>
  <si>
    <t>Ширина по 2-й стороні</t>
  </si>
  <si>
    <t>U</t>
  </si>
  <si>
    <t>L</t>
  </si>
  <si>
    <t>AL</t>
  </si>
  <si>
    <t>РОЗМІРИ ДЕТАЛЕЙ (ПЛОСКІ)</t>
  </si>
  <si>
    <t>-</t>
  </si>
  <si>
    <t>Вітрина без чверті, плоский фасад</t>
  </si>
  <si>
    <t>Вітрина з чвертю, плоский фасад</t>
  </si>
  <si>
    <t>Проверочные значения</t>
  </si>
  <si>
    <t>м²</t>
  </si>
  <si>
    <t>Матове покриття другої сторони</t>
  </si>
  <si>
    <t>Софт покриття другої сторони</t>
  </si>
  <si>
    <t>Глянцеве покриття другої сторони</t>
  </si>
  <si>
    <t xml:space="preserve">Матове покриття другої сторони радіусний фасад </t>
  </si>
  <si>
    <t xml:space="preserve">Софт покриття другої сторони радіусний фасад </t>
  </si>
  <si>
    <t xml:space="preserve">Глянцеве покриття з поліруванням другої сторони радіусний фасад </t>
  </si>
  <si>
    <t>Вітрина шпрос без чверті, плоский фасад до 1000 мм</t>
  </si>
  <si>
    <t>Вітрина шпрос з чвертю, плоский фасад до 1000 мм</t>
  </si>
  <si>
    <t>Вітрина шпрос без чверті, плоский фасад понад 1000 мм</t>
  </si>
  <si>
    <t>Вітрина шпрос з чвертю, плоский фасад понад 1000 мм</t>
  </si>
  <si>
    <t>Вітрина радіусний фасад,</t>
  </si>
  <si>
    <t>Фарбування ручки J в інший колір</t>
  </si>
  <si>
    <t>V</t>
  </si>
  <si>
    <t xml:space="preserve">Матовий  </t>
  </si>
  <si>
    <t>Глянець (фарба + глянцевий лак з поліруванням)</t>
  </si>
  <si>
    <t>Спецефект Перламутр срібло/золото + глянцевий лак з поліруванням</t>
  </si>
  <si>
    <t>Спецефект  Гума (антивандальний)</t>
  </si>
  <si>
    <t>Спецефект Автометалік Mobihel + глянцевий лак з поліруванням</t>
  </si>
  <si>
    <t>Спецефект Рідке скло (антивандальний)</t>
  </si>
  <si>
    <t>Спецефект Перли, Графіт</t>
  </si>
  <si>
    <t>Спецефект Зоряне небо+ глянцевий лак з поліруванням</t>
  </si>
  <si>
    <t>Хамелеон 2-х кольоровий + глянцевий лак з поліруванням</t>
  </si>
  <si>
    <t>Хамелеон 3-х кольоровий + глянцевий лак з поліруванням</t>
  </si>
  <si>
    <t>Фотодрук + глянцевий лак з поліруванням</t>
  </si>
  <si>
    <r>
      <t xml:space="preserve">Фасади виготовляються на спеціальних верстатах ЧПУ с технологією Nesting (точніть </t>
    </r>
    <r>
      <rPr>
        <sz val="10"/>
        <color theme="1"/>
        <rFont val="Calibri"/>
        <family val="2"/>
        <charset val="204"/>
      </rPr>
      <t>±</t>
    </r>
    <r>
      <rPr>
        <sz val="8.5"/>
        <color theme="1"/>
        <rFont val="Arial"/>
        <family val="2"/>
        <charset val="204"/>
      </rPr>
      <t>0,1 мм)</t>
    </r>
  </si>
  <si>
    <t>Сверління під петлі - на фірмову станку "BLUM" без сколів по колу</t>
  </si>
  <si>
    <t>Замовлення площею менше 0,5 м. кв оцінюється як 0,5 м. кв</t>
  </si>
  <si>
    <t>Вартість фарбування вітрини оцінюється по габаритній площі фасаду</t>
  </si>
  <si>
    <t>Виготовлення радіусних фасадів R284 мм, R300 мм виконується висотою не більше 2000 мм</t>
  </si>
  <si>
    <t>8.</t>
  </si>
  <si>
    <t>9.</t>
  </si>
  <si>
    <t>Термін виготовлення 10-12 робочих днів. Для фасадів з фотодруком – 15 робочих днів</t>
  </si>
  <si>
    <t>Рідке скло</t>
  </si>
  <si>
    <t>Спецефект перл. ср/зол.+глянець до 16 мм</t>
  </si>
  <si>
    <t>Спецефект перл. ср/зол.+глянець 19 мм</t>
  </si>
  <si>
    <t>Спецефект перл. ср/зол.+глянець, другої сторони</t>
  </si>
  <si>
    <t>Спецефект гума до 16 мм</t>
  </si>
  <si>
    <t>Спецефект гума 19 мм</t>
  </si>
  <si>
    <t>Спецефект гума, другої сторони</t>
  </si>
  <si>
    <t>Спецефект металік + глянець, до 16 мм</t>
  </si>
  <si>
    <t>Спецефект металік+ глянець, 19 мм</t>
  </si>
  <si>
    <t>Спецефект металік+ глянець, другої сторони</t>
  </si>
  <si>
    <t>Спецефект рідке скло, до 16 мм</t>
  </si>
  <si>
    <t>Спецефект рідке скло, 19 мм</t>
  </si>
  <si>
    <t>Спецефект рідке скло, другої сторони</t>
  </si>
  <si>
    <t>Спецефект перли, графіт, до 16 мм</t>
  </si>
  <si>
    <t>Спецефект перли, графіт, 19 мм</t>
  </si>
  <si>
    <t>Спецефект перли, графіт, другої сторони</t>
  </si>
  <si>
    <t>Спецефект зоряне небо, до 16 мм</t>
  </si>
  <si>
    <t>Спецефект зоряне небо, 19 мм</t>
  </si>
  <si>
    <t>Спецефект зоряне небо, другої сторони</t>
  </si>
  <si>
    <t>Спецефект перл. ср/зол.+глянець,радіусний фасад 16 мм</t>
  </si>
  <si>
    <t>Спецефект перл. ср/зол.+глянець,радіусний фасад 19мм</t>
  </si>
  <si>
    <t>Спецефект перл. ср/зол.+глянець, другої сторони радіусний фасад</t>
  </si>
  <si>
    <t>Спецефект гума, радіусний фасад 16 мм</t>
  </si>
  <si>
    <t>Спецефект гума, радіусний фасад 19 мм</t>
  </si>
  <si>
    <t>Спецефект гума, другої сторони радіусний фасад</t>
  </si>
  <si>
    <t>Спецефект металік + глянець, радіусний фасад 16 мм</t>
  </si>
  <si>
    <t>Спецефект металік+ глянець, радіусний фасад 19 мм</t>
  </si>
  <si>
    <t>Спецефект металік+ глянець, другої сторони радіусний фасад</t>
  </si>
  <si>
    <t>Спецефект рідке скло, радіусний фасад 16 мм</t>
  </si>
  <si>
    <t>Спецефект рідке скло, радіусний фасад 19 мм</t>
  </si>
  <si>
    <t>Спецефект рідке скло, другої сторони радіусний фасад</t>
  </si>
  <si>
    <t>Спецефект перли, графіт, радіусний фасад 16 мм</t>
  </si>
  <si>
    <t>Спецефект перли, графіт, радіусний фасад 19 мм</t>
  </si>
  <si>
    <t xml:space="preserve">Спецефект перли, графіт, другої сторони радіусний фасад </t>
  </si>
  <si>
    <t>Спецефект зоряне небо, радіусний фасад 16 мм</t>
  </si>
  <si>
    <t>Спецефект зоряне небо, радіусний фасад 19 мм</t>
  </si>
  <si>
    <t xml:space="preserve">Спецефект зоряне небо, другої сторони радіусний фасад </t>
  </si>
  <si>
    <t>AJ № 2</t>
  </si>
  <si>
    <t>AJ № 3</t>
  </si>
  <si>
    <t>AJ № 4</t>
  </si>
  <si>
    <t>AJ № 5</t>
  </si>
  <si>
    <t>AJ № 2L</t>
  </si>
  <si>
    <t>AJ № 3L</t>
  </si>
  <si>
    <t>AJ № 4L</t>
  </si>
  <si>
    <t>AJ № 5L</t>
  </si>
  <si>
    <t>AJ № 2R</t>
  </si>
  <si>
    <t>AJ № 3R</t>
  </si>
  <si>
    <t>AJ № 4R</t>
  </si>
  <si>
    <t>AJ № 5R</t>
  </si>
  <si>
    <t>Ручка тип "J" в радіусному фасаді</t>
  </si>
  <si>
    <t>У випадку замовлення ФРЕЗЕРОВАНИХ фасадів з патиною, гладкі фасади без патини покриваються додатковим шаром лаку</t>
  </si>
  <si>
    <t>Найменування</t>
  </si>
  <si>
    <t>Матове покриття 22мм</t>
  </si>
  <si>
    <t>Софт покриття 22 мм</t>
  </si>
  <si>
    <t>Глянцеве покриття з поліруванням 22 мм</t>
  </si>
  <si>
    <t>Спецефект перл. ср/зол.+глянець 22 мм</t>
  </si>
  <si>
    <t>Спецефект гума 22 мм</t>
  </si>
  <si>
    <t>Спецефект металік+ глянець, 22 мм</t>
  </si>
  <si>
    <t>Спецефект рідке скло, 22 мм</t>
  </si>
  <si>
    <t>Спецефект перли, графіт, 22 мм</t>
  </si>
  <si>
    <t>Спецефект зоряне небо, 22 мм</t>
  </si>
  <si>
    <t>Хамелеон 2-х кольоровий + глянець з поліруванням 22 мм</t>
  </si>
  <si>
    <t>Хамелеон 3-х кольоровий + глянець з поліруванням 22 мм</t>
  </si>
  <si>
    <t>Фотодрук + глянець з поліруванням 22 мм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</si>
</sst>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dd/mm/yy"/>
    <numFmt numFmtId="166" formatCode="[$-F800]dddd\,\ mmmm\ dd\,\ yyyy"/>
    <numFmt numFmtId="167" formatCode="0.0"/>
  </numFmts>
  <fonts count="35" x14ac:knownFonts="1"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8"/>
      <name val="Arial"/>
      <family val="2"/>
      <charset val="204"/>
    </font>
    <font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12"/>
      <name val="Arial"/>
      <family val="2"/>
      <charset val="204"/>
    </font>
    <font>
      <sz val="11"/>
      <color indexed="12"/>
      <name val="Arial"/>
      <family val="2"/>
      <charset val="204"/>
    </font>
    <font>
      <sz val="9"/>
      <name val="Arial"/>
      <family val="2"/>
      <charset val="204"/>
    </font>
    <font>
      <sz val="10"/>
      <name val="Arial"/>
      <family val="2"/>
      <charset val="204"/>
    </font>
    <font>
      <b/>
      <sz val="14"/>
      <name val="Arial"/>
      <family val="2"/>
      <charset val="204"/>
    </font>
    <font>
      <sz val="26"/>
      <name val="Arial"/>
      <family val="2"/>
      <charset val="204"/>
    </font>
    <font>
      <sz val="14"/>
      <name val="Arial"/>
      <family val="2"/>
      <charset val="204"/>
    </font>
    <font>
      <b/>
      <sz val="12"/>
      <color indexed="10"/>
      <name val="Arial"/>
      <family val="2"/>
      <charset val="204"/>
    </font>
    <font>
      <b/>
      <sz val="18"/>
      <name val="Arial"/>
      <family val="2"/>
      <charset val="204"/>
    </font>
    <font>
      <b/>
      <sz val="14"/>
      <color indexed="12"/>
      <name val="Arial"/>
      <family val="2"/>
      <charset val="204"/>
    </font>
    <font>
      <b/>
      <sz val="16"/>
      <name val="Arial"/>
      <family val="2"/>
      <charset val="204"/>
    </font>
    <font>
      <sz val="16"/>
      <name val="Arial"/>
      <family val="2"/>
      <charset val="204"/>
    </font>
    <font>
      <b/>
      <u/>
      <sz val="14"/>
      <color indexed="12"/>
      <name val="Arial"/>
      <family val="2"/>
      <charset val="204"/>
    </font>
    <font>
      <b/>
      <sz val="12"/>
      <color rgb="FFFF0000"/>
      <name val="Arial"/>
      <family val="2"/>
      <charset val="204"/>
    </font>
    <font>
      <b/>
      <sz val="12"/>
      <color indexed="18"/>
      <name val="Arial"/>
      <family val="2"/>
      <charset val="204"/>
    </font>
    <font>
      <b/>
      <sz val="12"/>
      <color indexed="12"/>
      <name val="Arial"/>
      <family val="2"/>
      <charset val="204"/>
    </font>
    <font>
      <b/>
      <i/>
      <sz val="12"/>
      <name val="Arial"/>
      <family val="2"/>
      <charset val="204"/>
    </font>
    <font>
      <sz val="12"/>
      <color indexed="10"/>
      <name val="Arial"/>
      <family val="2"/>
      <charset val="204"/>
    </font>
    <font>
      <sz val="12"/>
      <color indexed="8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b/>
      <u/>
      <sz val="10"/>
      <color indexed="12"/>
      <name val="Arial"/>
      <family val="2"/>
      <charset val="204"/>
    </font>
    <font>
      <b/>
      <sz val="20"/>
      <name val="Arial"/>
      <family val="2"/>
      <charset val="204"/>
    </font>
    <font>
      <sz val="10"/>
      <name val="Calibri"/>
      <family val="2"/>
      <charset val="204"/>
    </font>
    <font>
      <b/>
      <sz val="22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sz val="10"/>
      <color theme="1"/>
      <name val="Calibri"/>
      <family val="2"/>
      <charset val="204"/>
    </font>
    <font>
      <sz val="8.5"/>
      <color theme="1"/>
      <name val="Arial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FFFFFF"/>
        <bgColor indexed="64"/>
      </patternFill>
    </fill>
    <fill>
      <patternFill patternType="solid">
        <fgColor rgb="FFFCE5CD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8" fillId="0" borderId="0"/>
    <xf numFmtId="0" fontId="8" fillId="0" borderId="0"/>
  </cellStyleXfs>
  <cellXfs count="327">
    <xf numFmtId="0" fontId="0" fillId="0" borderId="0" xfId="0"/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7" fillId="0" borderId="0" xfId="0" applyFont="1"/>
    <xf numFmtId="0" fontId="3" fillId="0" borderId="0" xfId="0" applyFont="1"/>
    <xf numFmtId="0" fontId="11" fillId="0" borderId="0" xfId="0" applyFont="1"/>
    <xf numFmtId="0" fontId="5" fillId="0" borderId="0" xfId="0" applyFont="1"/>
    <xf numFmtId="1" fontId="5" fillId="0" borderId="0" xfId="0" applyNumberFormat="1" applyFont="1" applyAlignment="1">
      <alignment horizontal="center"/>
    </xf>
    <xf numFmtId="0" fontId="16" fillId="0" borderId="0" xfId="0" applyFont="1" applyAlignment="1">
      <alignment vertical="center"/>
    </xf>
    <xf numFmtId="0" fontId="16" fillId="0" borderId="0" xfId="0" applyFont="1"/>
    <xf numFmtId="0" fontId="5" fillId="0" borderId="0" xfId="0" applyFont="1" applyAlignment="1">
      <alignment horizontal="left"/>
    </xf>
    <xf numFmtId="0" fontId="10" fillId="0" borderId="0" xfId="0" applyFont="1"/>
    <xf numFmtId="0" fontId="11" fillId="0" borderId="0" xfId="0" applyFont="1" applyAlignment="1">
      <alignment wrapText="1"/>
    </xf>
    <xf numFmtId="0" fontId="9" fillId="0" borderId="0" xfId="0" applyFont="1"/>
    <xf numFmtId="0" fontId="9" fillId="0" borderId="0" xfId="0" applyFont="1" applyAlignment="1">
      <alignment horizontal="right"/>
    </xf>
    <xf numFmtId="0" fontId="14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0" fontId="18" fillId="3" borderId="0" xfId="0" applyFont="1" applyFill="1" applyAlignment="1">
      <alignment horizontal="left"/>
    </xf>
    <xf numFmtId="0" fontId="17" fillId="0" borderId="0" xfId="1" applyNumberFormat="1" applyFont="1" applyFill="1" applyBorder="1" applyAlignment="1" applyProtection="1">
      <alignment horizontal="right"/>
    </xf>
    <xf numFmtId="0" fontId="17" fillId="0" borderId="0" xfId="1" applyFont="1" applyBorder="1" applyAlignment="1" applyProtection="1">
      <alignment horizontal="right"/>
    </xf>
    <xf numFmtId="0" fontId="1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right" wrapText="1"/>
    </xf>
    <xf numFmtId="2" fontId="5" fillId="0" borderId="0" xfId="0" applyNumberFormat="1" applyFont="1" applyAlignment="1">
      <alignment horizontal="center" vertical="top"/>
    </xf>
    <xf numFmtId="0" fontId="5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1" fontId="5" fillId="0" borderId="1" xfId="0" applyNumberFormat="1" applyFont="1" applyBorder="1" applyAlignment="1">
      <alignment horizontal="center"/>
    </xf>
    <xf numFmtId="2" fontId="5" fillId="0" borderId="0" xfId="0" applyNumberFormat="1" applyFont="1" applyAlignment="1">
      <alignment horizontal="center"/>
    </xf>
    <xf numFmtId="14" fontId="3" fillId="0" borderId="0" xfId="0" applyNumberFormat="1" applyFont="1"/>
    <xf numFmtId="165" fontId="3" fillId="0" borderId="0" xfId="0" applyNumberFormat="1" applyFont="1"/>
    <xf numFmtId="0" fontId="5" fillId="0" borderId="1" xfId="0" applyFont="1" applyBorder="1" applyAlignment="1">
      <alignment horizontal="center"/>
    </xf>
    <xf numFmtId="164" fontId="5" fillId="0" borderId="0" xfId="0" applyNumberFormat="1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right"/>
      <protection locked="0"/>
    </xf>
    <xf numFmtId="164" fontId="5" fillId="0" borderId="1" xfId="0" applyNumberFormat="1" applyFont="1" applyBorder="1" applyAlignment="1" applyProtection="1">
      <alignment horizontal="center"/>
      <protection locked="0"/>
    </xf>
    <xf numFmtId="0" fontId="19" fillId="0" borderId="0" xfId="0" applyFont="1"/>
    <xf numFmtId="0" fontId="5" fillId="0" borderId="0" xfId="0" applyFont="1" applyAlignment="1">
      <alignment horizontal="right"/>
    </xf>
    <xf numFmtId="1" fontId="5" fillId="0" borderId="0" xfId="0" applyNumberFormat="1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1" fontId="5" fillId="0" borderId="1" xfId="0" applyNumberFormat="1" applyFont="1" applyBorder="1" applyAlignment="1" applyProtection="1">
      <alignment horizontal="center"/>
      <protection locked="0"/>
    </xf>
    <xf numFmtId="0" fontId="21" fillId="0" borderId="0" xfId="0" applyFont="1" applyAlignment="1" applyProtection="1">
      <alignment horizontal="center"/>
      <protection locked="0"/>
    </xf>
    <xf numFmtId="0" fontId="21" fillId="0" borderId="1" xfId="0" applyFont="1" applyBorder="1" applyAlignment="1" applyProtection="1">
      <alignment horizontal="center"/>
      <protection locked="0"/>
    </xf>
    <xf numFmtId="0" fontId="21" fillId="0" borderId="1" xfId="0" applyFont="1" applyBorder="1" applyAlignment="1">
      <alignment horizontal="center"/>
    </xf>
    <xf numFmtId="0" fontId="21" fillId="0" borderId="0" xfId="0" applyFont="1" applyAlignment="1">
      <alignment horizontal="left"/>
    </xf>
    <xf numFmtId="0" fontId="0" fillId="0" borderId="0" xfId="0" applyAlignment="1">
      <alignment vertical="center" wrapText="1"/>
    </xf>
    <xf numFmtId="0" fontId="0" fillId="0" borderId="0" xfId="0" applyAlignment="1" applyProtection="1">
      <alignment vertical="center" wrapText="1"/>
      <protection locked="0"/>
    </xf>
    <xf numFmtId="0" fontId="6" fillId="0" borderId="0" xfId="0" applyFont="1" applyAlignment="1" applyProtection="1">
      <alignment horizontal="right" vertical="center"/>
      <protection locked="0"/>
    </xf>
    <xf numFmtId="0" fontId="0" fillId="0" borderId="0" xfId="0" applyAlignment="1" applyProtection="1">
      <alignment vertical="center"/>
      <protection locked="0"/>
    </xf>
    <xf numFmtId="0" fontId="20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right" vertical="center" wrapText="1"/>
    </xf>
    <xf numFmtId="0" fontId="3" fillId="0" borderId="0" xfId="0" applyFont="1" applyAlignment="1">
      <alignment horizontal="right" vertical="center" wrapText="1"/>
    </xf>
    <xf numFmtId="0" fontId="12" fillId="0" borderId="0" xfId="0" applyFont="1" applyAlignment="1">
      <alignment vertical="center" wrapText="1"/>
    </xf>
    <xf numFmtId="0" fontId="22" fillId="0" borderId="0" xfId="0" applyFont="1" applyAlignment="1">
      <alignment horizontal="right" vertical="center" wrapText="1"/>
    </xf>
    <xf numFmtId="0" fontId="3" fillId="0" borderId="0" xfId="0" applyFont="1" applyAlignment="1">
      <alignment horizontal="right" vertical="center"/>
    </xf>
    <xf numFmtId="0" fontId="23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right" wrapText="1"/>
    </xf>
    <xf numFmtId="0" fontId="0" fillId="0" borderId="0" xfId="0" applyAlignment="1">
      <alignment horizontal="right" wrapText="1"/>
    </xf>
    <xf numFmtId="0" fontId="0" fillId="0" borderId="1" xfId="0" applyBorder="1" applyAlignment="1">
      <alignment horizontal="right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right" vertical="center" wrapText="1"/>
    </xf>
    <xf numFmtId="0" fontId="0" fillId="0" borderId="1" xfId="0" applyBorder="1" applyAlignment="1">
      <alignment vertical="center" wrapText="1"/>
    </xf>
    <xf numFmtId="0" fontId="0" fillId="4" borderId="1" xfId="0" applyFill="1" applyBorder="1" applyAlignment="1">
      <alignment wrapText="1"/>
    </xf>
    <xf numFmtId="0" fontId="0" fillId="4" borderId="1" xfId="0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 wrapText="1"/>
    </xf>
    <xf numFmtId="9" fontId="0" fillId="4" borderId="1" xfId="0" applyNumberForma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4" fontId="5" fillId="0" borderId="0" xfId="0" applyNumberFormat="1" applyFont="1" applyAlignment="1" applyProtection="1">
      <alignment horizontal="left"/>
      <protection locked="0"/>
    </xf>
    <xf numFmtId="0" fontId="12" fillId="0" borderId="0" xfId="0" applyFont="1" applyAlignment="1">
      <alignment horizontal="center" vertical="center" wrapText="1"/>
    </xf>
    <xf numFmtId="0" fontId="5" fillId="0" borderId="0" xfId="0" applyFont="1" applyAlignment="1" applyProtection="1">
      <alignment horizontal="left"/>
      <protection locked="0"/>
    </xf>
    <xf numFmtId="0" fontId="4" fillId="0" borderId="0" xfId="0" applyFont="1" applyAlignment="1">
      <alignment horizontal="right"/>
    </xf>
    <xf numFmtId="0" fontId="26" fillId="0" borderId="0" xfId="1" applyFont="1" applyBorder="1" applyAlignment="1" applyProtection="1">
      <alignment horizontal="right"/>
    </xf>
    <xf numFmtId="0" fontId="26" fillId="0" borderId="0" xfId="1" applyNumberFormat="1" applyFont="1" applyFill="1" applyBorder="1" applyAlignment="1" applyProtection="1">
      <alignment horizontal="right"/>
    </xf>
    <xf numFmtId="0" fontId="3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25" fillId="0" borderId="0" xfId="0" applyFont="1" applyAlignment="1">
      <alignment horizontal="right" vertical="center"/>
    </xf>
    <xf numFmtId="14" fontId="0" fillId="0" borderId="0" xfId="0" applyNumberFormat="1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5" fillId="8" borderId="0" xfId="0" applyFont="1" applyFill="1" applyProtection="1">
      <protection locked="0"/>
    </xf>
    <xf numFmtId="0" fontId="5" fillId="8" borderId="0" xfId="0" applyFont="1" applyFill="1" applyAlignment="1" applyProtection="1">
      <alignment horizontal="left"/>
      <protection locked="0"/>
    </xf>
    <xf numFmtId="0" fontId="24" fillId="0" borderId="0" xfId="0" applyFont="1" applyAlignment="1">
      <alignment horizontal="left" vertical="center" wrapText="1"/>
    </xf>
    <xf numFmtId="0" fontId="2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164" fontId="0" fillId="0" borderId="1" xfId="0" applyNumberFormat="1" applyBorder="1"/>
    <xf numFmtId="164" fontId="0" fillId="0" borderId="0" xfId="0" applyNumberFormat="1"/>
    <xf numFmtId="0" fontId="4" fillId="0" borderId="1" xfId="0" applyFont="1" applyBorder="1" applyAlignment="1">
      <alignment vertical="center" wrapText="1"/>
    </xf>
    <xf numFmtId="0" fontId="24" fillId="0" borderId="1" xfId="0" applyFont="1" applyBorder="1" applyAlignment="1">
      <alignment horizontal="left" vertical="center" wrapText="1"/>
    </xf>
    <xf numFmtId="0" fontId="0" fillId="0" borderId="12" xfId="0" applyBorder="1"/>
    <xf numFmtId="0" fontId="0" fillId="0" borderId="13" xfId="0" applyBorder="1"/>
    <xf numFmtId="2" fontId="25" fillId="0" borderId="1" xfId="0" applyNumberFormat="1" applyFont="1" applyBorder="1"/>
    <xf numFmtId="2" fontId="25" fillId="0" borderId="14" xfId="0" applyNumberFormat="1" applyFont="1" applyBorder="1"/>
    <xf numFmtId="0" fontId="5" fillId="0" borderId="0" xfId="0" applyFont="1" applyAlignment="1" applyProtection="1">
      <alignment vertical="center" wrapText="1"/>
      <protection locked="0"/>
    </xf>
    <xf numFmtId="166" fontId="5" fillId="0" borderId="0" xfId="0" applyNumberFormat="1" applyFont="1" applyAlignment="1" applyProtection="1">
      <alignment vertical="center" wrapText="1"/>
      <protection hidden="1"/>
    </xf>
    <xf numFmtId="2" fontId="0" fillId="0" borderId="1" xfId="0" applyNumberFormat="1" applyBorder="1" applyProtection="1">
      <protection hidden="1"/>
    </xf>
    <xf numFmtId="4" fontId="0" fillId="0" borderId="1" xfId="0" applyNumberFormat="1" applyBorder="1" applyAlignment="1" applyProtection="1">
      <alignment horizontal="center" vertical="center"/>
      <protection hidden="1"/>
    </xf>
    <xf numFmtId="0" fontId="12" fillId="0" borderId="0" xfId="0" applyFont="1" applyAlignment="1">
      <alignment horizontal="left" vertical="center" wrapText="1"/>
    </xf>
    <xf numFmtId="0" fontId="5" fillId="0" borderId="0" xfId="0" applyFont="1" applyAlignment="1" applyProtection="1">
      <alignment horizontal="center" vertical="center" wrapText="1"/>
      <protection locked="0"/>
    </xf>
    <xf numFmtId="0" fontId="4" fillId="0" borderId="9" xfId="0" applyFont="1" applyBorder="1" applyAlignment="1">
      <alignment horizontal="center" vertical="center" wrapText="1"/>
    </xf>
    <xf numFmtId="0" fontId="27" fillId="0" borderId="0" xfId="3" applyFont="1" applyAlignment="1">
      <alignment horizontal="center" wrapText="1"/>
    </xf>
    <xf numFmtId="0" fontId="4" fillId="0" borderId="0" xfId="0" applyFont="1"/>
    <xf numFmtId="0" fontId="4" fillId="0" borderId="0" xfId="0" applyFont="1" applyProtection="1">
      <protection locked="0" hidden="1"/>
    </xf>
    <xf numFmtId="0" fontId="4" fillId="0" borderId="1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164" fontId="5" fillId="0" borderId="5" xfId="0" applyNumberFormat="1" applyFont="1" applyBorder="1" applyAlignment="1" applyProtection="1">
      <alignment horizontal="center" vertical="center"/>
      <protection hidden="1"/>
    </xf>
    <xf numFmtId="164" fontId="3" fillId="0" borderId="0" xfId="0" applyNumberFormat="1" applyFont="1" applyAlignment="1" applyProtection="1">
      <alignment horizontal="center" vertical="top"/>
      <protection hidden="1"/>
    </xf>
    <xf numFmtId="164" fontId="5" fillId="0" borderId="0" xfId="0" applyNumberFormat="1" applyFont="1" applyAlignment="1" applyProtection="1">
      <alignment horizontal="center"/>
      <protection hidden="1"/>
    </xf>
    <xf numFmtId="4" fontId="5" fillId="0" borderId="0" xfId="0" applyNumberFormat="1" applyFont="1" applyAlignment="1" applyProtection="1">
      <alignment horizontal="center"/>
      <protection hidden="1"/>
    </xf>
    <xf numFmtId="164" fontId="5" fillId="0" borderId="1" xfId="0" applyNumberFormat="1" applyFont="1" applyBorder="1" applyAlignment="1" applyProtection="1">
      <alignment horizontal="center" vertical="center"/>
      <protection hidden="1"/>
    </xf>
    <xf numFmtId="1" fontId="5" fillId="0" borderId="0" xfId="0" applyNumberFormat="1" applyFont="1" applyAlignment="1" applyProtection="1">
      <alignment horizontal="center"/>
      <protection hidden="1"/>
    </xf>
    <xf numFmtId="1" fontId="20" fillId="0" borderId="4" xfId="0" applyNumberFormat="1" applyFont="1" applyBorder="1" applyAlignment="1" applyProtection="1">
      <alignment horizontal="center"/>
      <protection hidden="1"/>
    </xf>
    <xf numFmtId="1" fontId="9" fillId="2" borderId="6" xfId="2" applyNumberFormat="1" applyFont="1" applyFill="1" applyBorder="1" applyAlignment="1" applyProtection="1">
      <alignment horizontal="center" vertical="center"/>
      <protection locked="0"/>
    </xf>
    <xf numFmtId="0" fontId="9" fillId="2" borderId="6" xfId="0" applyFont="1" applyFill="1" applyBorder="1" applyAlignment="1" applyProtection="1">
      <alignment horizontal="center" vertical="center" wrapText="1"/>
      <protection locked="0"/>
    </xf>
    <xf numFmtId="0" fontId="9" fillId="2" borderId="10" xfId="0" applyFont="1" applyFill="1" applyBorder="1" applyAlignment="1" applyProtection="1">
      <alignment horizontal="center" vertical="center" wrapText="1"/>
      <protection locked="0"/>
    </xf>
    <xf numFmtId="0" fontId="9" fillId="2" borderId="1" xfId="2" applyFont="1" applyFill="1" applyBorder="1" applyAlignment="1" applyProtection="1">
      <alignment horizontal="center" vertical="center"/>
      <protection locked="0"/>
    </xf>
    <xf numFmtId="1" fontId="9" fillId="2" borderId="5" xfId="2" applyNumberFormat="1" applyFont="1" applyFill="1" applyBorder="1" applyAlignment="1" applyProtection="1">
      <alignment horizontal="center" vertical="center"/>
      <protection locked="0"/>
    </xf>
    <xf numFmtId="1" fontId="9" fillId="0" borderId="1" xfId="2" applyNumberFormat="1" applyFont="1" applyBorder="1" applyAlignment="1" applyProtection="1">
      <alignment horizontal="center" vertical="center"/>
      <protection locked="0"/>
    </xf>
    <xf numFmtId="49" fontId="9" fillId="0" borderId="1" xfId="2" applyNumberFormat="1" applyFont="1" applyBorder="1" applyAlignment="1" applyProtection="1">
      <alignment horizontal="center" vertical="center"/>
      <protection locked="0"/>
    </xf>
    <xf numFmtId="1" fontId="9" fillId="0" borderId="10" xfId="2" applyNumberFormat="1" applyFont="1" applyBorder="1" applyAlignment="1" applyProtection="1">
      <alignment horizontal="center" vertical="center"/>
      <protection locked="0"/>
    </xf>
    <xf numFmtId="1" fontId="11" fillId="2" borderId="6" xfId="2" applyNumberFormat="1" applyFont="1" applyFill="1" applyBorder="1" applyAlignment="1" applyProtection="1">
      <alignment horizontal="center" vertical="center"/>
      <protection locked="0"/>
    </xf>
    <xf numFmtId="0" fontId="9" fillId="0" borderId="11" xfId="0" applyFont="1" applyBorder="1" applyAlignment="1" applyProtection="1">
      <alignment horizontal="center" vertical="center"/>
      <protection locked="0"/>
    </xf>
    <xf numFmtId="0" fontId="11" fillId="2" borderId="6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 applyProtection="1">
      <alignment horizontal="center" vertical="center"/>
      <protection locked="0"/>
    </xf>
    <xf numFmtId="0" fontId="15" fillId="0" borderId="0" xfId="0" applyFont="1" applyAlignment="1">
      <alignment horizontal="right" vertical="center"/>
    </xf>
    <xf numFmtId="164" fontId="15" fillId="0" borderId="0" xfId="0" applyNumberFormat="1" applyFont="1" applyAlignment="1" applyProtection="1">
      <alignment horizontal="center"/>
      <protection hidden="1"/>
    </xf>
    <xf numFmtId="3" fontId="15" fillId="0" borderId="3" xfId="0" applyNumberFormat="1" applyFont="1" applyBorder="1" applyAlignment="1" applyProtection="1">
      <alignment horizontal="center"/>
      <protection hidden="1"/>
    </xf>
    <xf numFmtId="1" fontId="15" fillId="0" borderId="4" xfId="0" applyNumberFormat="1" applyFont="1" applyBorder="1" applyAlignment="1" applyProtection="1">
      <alignment horizontal="center"/>
      <protection hidden="1"/>
    </xf>
    <xf numFmtId="3" fontId="5" fillId="0" borderId="1" xfId="0" applyNumberFormat="1" applyFont="1" applyBorder="1" applyAlignment="1" applyProtection="1">
      <alignment horizontal="center"/>
      <protection locked="0"/>
    </xf>
    <xf numFmtId="0" fontId="5" fillId="0" borderId="9" xfId="0" applyFont="1" applyBorder="1" applyAlignment="1">
      <alignment horizontal="center" vertical="center" wrapText="1"/>
    </xf>
    <xf numFmtId="167" fontId="9" fillId="0" borderId="0" xfId="0" applyNumberFormat="1" applyFont="1" applyAlignment="1" applyProtection="1">
      <alignment horizontal="center"/>
      <protection hidden="1"/>
    </xf>
    <xf numFmtId="0" fontId="0" fillId="0" borderId="0" xfId="0" applyAlignment="1">
      <alignment horizontal="right" vertical="center" wrapText="1"/>
    </xf>
    <xf numFmtId="0" fontId="0" fillId="0" borderId="0" xfId="0" applyProtection="1">
      <protection locked="0" hidden="1"/>
    </xf>
    <xf numFmtId="0" fontId="25" fillId="0" borderId="0" xfId="0" applyFont="1" applyAlignment="1" applyProtection="1">
      <alignment horizontal="right" vertical="center"/>
      <protection locked="0" hidden="1"/>
    </xf>
    <xf numFmtId="14" fontId="0" fillId="0" borderId="0" xfId="0" applyNumberFormat="1" applyProtection="1">
      <protection locked="0" hidden="1"/>
    </xf>
    <xf numFmtId="0" fontId="0" fillId="0" borderId="0" xfId="0" applyProtection="1"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" xfId="0" applyBorder="1" applyProtection="1">
      <protection hidden="1"/>
    </xf>
    <xf numFmtId="0" fontId="0" fillId="0" borderId="1" xfId="0" applyBorder="1" applyAlignment="1" applyProtection="1">
      <alignment horizontal="center" vertical="center"/>
      <protection locked="0" hidden="1"/>
    </xf>
    <xf numFmtId="0" fontId="3" fillId="0" borderId="0" xfId="0" applyFont="1" applyAlignment="1" applyProtection="1">
      <alignment wrapText="1"/>
      <protection hidden="1"/>
    </xf>
    <xf numFmtId="0" fontId="0" fillId="0" borderId="0" xfId="0" applyAlignment="1" applyProtection="1">
      <alignment wrapText="1"/>
      <protection hidden="1"/>
    </xf>
    <xf numFmtId="0" fontId="5" fillId="0" borderId="0" xfId="0" applyFont="1" applyProtection="1">
      <protection hidden="1"/>
    </xf>
    <xf numFmtId="0" fontId="15" fillId="0" borderId="0" xfId="0" applyFont="1" applyAlignment="1" applyProtection="1">
      <alignment horizontal="right"/>
      <protection hidden="1"/>
    </xf>
    <xf numFmtId="0" fontId="28" fillId="0" borderId="0" xfId="0" applyFont="1" applyProtection="1"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center" vertical="center" wrapText="1"/>
      <protection hidden="1"/>
    </xf>
    <xf numFmtId="0" fontId="4" fillId="5" borderId="7" xfId="0" applyFont="1" applyFill="1" applyBorder="1" applyAlignment="1" applyProtection="1">
      <alignment horizontal="center" vertical="center" wrapText="1"/>
      <protection hidden="1"/>
    </xf>
    <xf numFmtId="0" fontId="4" fillId="5" borderId="1" xfId="0" applyFont="1" applyFill="1" applyBorder="1" applyAlignment="1" applyProtection="1">
      <alignment horizontal="center" vertical="center" wrapText="1"/>
      <protection hidden="1"/>
    </xf>
    <xf numFmtId="0" fontId="5" fillId="0" borderId="9" xfId="0" applyFont="1" applyBorder="1" applyAlignment="1" applyProtection="1">
      <alignment horizontal="center" vertical="center" wrapText="1"/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0" fontId="15" fillId="0" borderId="0" xfId="0" applyFont="1" applyProtection="1">
      <protection hidden="1"/>
    </xf>
    <xf numFmtId="0" fontId="5" fillId="0" borderId="6" xfId="0" applyFont="1" applyBorder="1" applyAlignment="1" applyProtection="1">
      <alignment horizontal="center" vertical="center"/>
      <protection hidden="1"/>
    </xf>
    <xf numFmtId="2" fontId="9" fillId="2" borderId="6" xfId="2" applyNumberFormat="1" applyFont="1" applyFill="1" applyBorder="1" applyAlignment="1" applyProtection="1">
      <alignment horizontal="center" vertical="center"/>
      <protection hidden="1"/>
    </xf>
    <xf numFmtId="164" fontId="9" fillId="2" borderId="6" xfId="2" applyNumberFormat="1" applyFont="1" applyFill="1" applyBorder="1" applyAlignment="1" applyProtection="1">
      <alignment horizontal="center" vertical="center"/>
      <protection hidden="1"/>
    </xf>
    <xf numFmtId="1" fontId="9" fillId="2" borderId="6" xfId="2" applyNumberFormat="1" applyFont="1" applyFill="1" applyBorder="1" applyAlignment="1" applyProtection="1">
      <alignment horizontal="center" vertical="center"/>
      <protection hidden="1"/>
    </xf>
    <xf numFmtId="1" fontId="5" fillId="6" borderId="6" xfId="2" applyNumberFormat="1" applyFont="1" applyFill="1" applyBorder="1" applyAlignment="1" applyProtection="1">
      <alignment horizontal="center" vertical="center"/>
      <protection hidden="1"/>
    </xf>
    <xf numFmtId="0" fontId="9" fillId="2" borderId="1" xfId="2" applyFont="1" applyFill="1" applyBorder="1" applyAlignment="1" applyProtection="1">
      <alignment horizontal="center" vertical="center"/>
      <protection hidden="1"/>
    </xf>
    <xf numFmtId="2" fontId="5" fillId="6" borderId="6" xfId="2" applyNumberFormat="1" applyFont="1" applyFill="1" applyBorder="1" applyAlignment="1" applyProtection="1">
      <alignment horizontal="center" vertical="center"/>
      <protection hidden="1"/>
    </xf>
    <xf numFmtId="1" fontId="9" fillId="2" borderId="5" xfId="2" applyNumberFormat="1" applyFont="1" applyFill="1" applyBorder="1" applyAlignment="1" applyProtection="1">
      <alignment horizontal="center" vertical="center"/>
      <protection hidden="1"/>
    </xf>
    <xf numFmtId="0" fontId="9" fillId="2" borderId="6" xfId="0" applyFont="1" applyFill="1" applyBorder="1" applyAlignment="1" applyProtection="1">
      <alignment horizontal="center" vertical="center" wrapText="1"/>
      <protection hidden="1"/>
    </xf>
    <xf numFmtId="1" fontId="9" fillId="0" borderId="1" xfId="2" applyNumberFormat="1" applyFont="1" applyBorder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vertical="center" wrapText="1"/>
      <protection hidden="1"/>
    </xf>
    <xf numFmtId="0" fontId="16" fillId="0" borderId="0" xfId="0" applyFont="1" applyAlignment="1" applyProtection="1">
      <alignment vertical="center"/>
      <protection hidden="1"/>
    </xf>
    <xf numFmtId="0" fontId="5" fillId="0" borderId="2" xfId="0" applyFont="1" applyBorder="1" applyAlignment="1" applyProtection="1">
      <alignment horizontal="center" vertical="center"/>
      <protection hidden="1"/>
    </xf>
    <xf numFmtId="2" fontId="5" fillId="0" borderId="0" xfId="2" applyNumberFormat="1" applyFont="1" applyAlignment="1" applyProtection="1">
      <alignment horizontal="center" vertical="center"/>
      <protection hidden="1"/>
    </xf>
    <xf numFmtId="1" fontId="5" fillId="0" borderId="0" xfId="2" applyNumberFormat="1" applyFont="1" applyAlignment="1" applyProtection="1">
      <alignment horizontal="center" vertical="center"/>
      <protection hidden="1"/>
    </xf>
    <xf numFmtId="164" fontId="5" fillId="0" borderId="0" xfId="0" applyNumberFormat="1" applyFont="1" applyAlignment="1" applyProtection="1">
      <alignment horizontal="center" vertical="center"/>
      <protection hidden="1"/>
    </xf>
    <xf numFmtId="0" fontId="16" fillId="0" borderId="0" xfId="0" applyFont="1" applyProtection="1"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/>
      <protection hidden="1"/>
    </xf>
    <xf numFmtId="2" fontId="5" fillId="0" borderId="0" xfId="0" applyNumberFormat="1" applyFont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right" wrapText="1"/>
      <protection hidden="1"/>
    </xf>
    <xf numFmtId="0" fontId="3" fillId="0" borderId="0" xfId="0" applyFont="1" applyProtection="1">
      <protection hidden="1"/>
    </xf>
    <xf numFmtId="164" fontId="5" fillId="0" borderId="0" xfId="0" applyNumberFormat="1" applyFont="1" applyAlignment="1" applyProtection="1">
      <alignment horizontal="right" wrapText="1"/>
      <protection hidden="1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5" fillId="0" borderId="6" xfId="0" applyFont="1" applyBorder="1" applyAlignment="1" applyProtection="1">
      <alignment horizontal="center" vertical="center" wrapText="1"/>
      <protection hidden="1"/>
    </xf>
    <xf numFmtId="0" fontId="9" fillId="0" borderId="2" xfId="0" applyFont="1" applyBorder="1" applyAlignment="1" applyProtection="1">
      <alignment horizontal="center"/>
      <protection hidden="1"/>
    </xf>
    <xf numFmtId="0" fontId="5" fillId="5" borderId="2" xfId="0" applyFont="1" applyFill="1" applyBorder="1" applyAlignment="1" applyProtection="1">
      <alignment horizontal="center"/>
      <protection hidden="1"/>
    </xf>
    <xf numFmtId="0" fontId="11" fillId="2" borderId="1" xfId="2" applyFont="1" applyFill="1" applyBorder="1" applyAlignment="1" applyProtection="1">
      <alignment horizontal="center" vertical="center"/>
      <protection hidden="1"/>
    </xf>
    <xf numFmtId="1" fontId="11" fillId="2" borderId="1" xfId="2" applyNumberFormat="1" applyFont="1" applyFill="1" applyBorder="1" applyAlignment="1" applyProtection="1">
      <alignment horizontal="center" vertical="center"/>
      <protection hidden="1"/>
    </xf>
    <xf numFmtId="1" fontId="11" fillId="0" borderId="1" xfId="2" applyNumberFormat="1" applyFont="1" applyBorder="1" applyAlignment="1" applyProtection="1">
      <alignment horizontal="center" vertical="center"/>
      <protection hidden="1"/>
    </xf>
    <xf numFmtId="2" fontId="5" fillId="0" borderId="0" xfId="0" applyNumberFormat="1" applyFont="1" applyAlignment="1" applyProtection="1">
      <alignment horizontal="center" vertical="top"/>
      <protection hidden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center" vertical="top"/>
      <protection hidden="1"/>
    </xf>
    <xf numFmtId="1" fontId="5" fillId="0" borderId="1" xfId="0" applyNumberFormat="1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 vertical="top" wrapText="1"/>
      <protection hidden="1"/>
    </xf>
    <xf numFmtId="164" fontId="5" fillId="0" borderId="0" xfId="2" applyNumberFormat="1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left"/>
      <protection hidden="1"/>
    </xf>
    <xf numFmtId="14" fontId="5" fillId="0" borderId="0" xfId="0" applyNumberFormat="1" applyFont="1" applyProtection="1">
      <protection hidden="1"/>
    </xf>
    <xf numFmtId="14" fontId="5" fillId="0" borderId="0" xfId="0" applyNumberFormat="1" applyFont="1" applyAlignment="1" applyProtection="1">
      <alignment horizontal="left"/>
      <protection hidden="1"/>
    </xf>
    <xf numFmtId="14" fontId="3" fillId="0" borderId="0" xfId="0" applyNumberFormat="1" applyFont="1" applyProtection="1">
      <protection hidden="1"/>
    </xf>
    <xf numFmtId="165" fontId="3" fillId="0" borderId="0" xfId="0" applyNumberFormat="1" applyFont="1" applyProtection="1">
      <protection hidden="1"/>
    </xf>
    <xf numFmtId="0" fontId="19" fillId="0" borderId="0" xfId="0" applyFont="1" applyProtection="1">
      <protection hidden="1"/>
    </xf>
    <xf numFmtId="3" fontId="5" fillId="0" borderId="0" xfId="0" applyNumberFormat="1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right"/>
      <protection hidden="1"/>
    </xf>
    <xf numFmtId="1" fontId="20" fillId="0" borderId="0" xfId="0" applyNumberFormat="1" applyFont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5" fillId="7" borderId="1" xfId="0" applyFont="1" applyFill="1" applyBorder="1" applyAlignment="1" applyProtection="1">
      <alignment horizontal="center" wrapText="1"/>
      <protection hidden="1"/>
    </xf>
    <xf numFmtId="164" fontId="5" fillId="0" borderId="1" xfId="0" applyNumberFormat="1" applyFont="1" applyBorder="1" applyAlignment="1" applyProtection="1">
      <alignment horizontal="center"/>
      <protection hidden="1"/>
    </xf>
    <xf numFmtId="2" fontId="5" fillId="0" borderId="1" xfId="0" applyNumberFormat="1" applyFont="1" applyBorder="1" applyAlignment="1" applyProtection="1">
      <alignment horizontal="center"/>
      <protection hidden="1"/>
    </xf>
    <xf numFmtId="2" fontId="5" fillId="7" borderId="1" xfId="0" applyNumberFormat="1" applyFont="1" applyFill="1" applyBorder="1" applyAlignment="1" applyProtection="1">
      <alignment horizontal="center"/>
      <protection hidden="1"/>
    </xf>
    <xf numFmtId="164" fontId="5" fillId="8" borderId="1" xfId="0" applyNumberFormat="1" applyFont="1" applyFill="1" applyBorder="1" applyAlignment="1" applyProtection="1">
      <alignment horizontal="center"/>
      <protection hidden="1"/>
    </xf>
    <xf numFmtId="2" fontId="5" fillId="8" borderId="1" xfId="0" applyNumberFormat="1" applyFont="1" applyFill="1" applyBorder="1" applyAlignment="1" applyProtection="1">
      <alignment horizontal="center"/>
      <protection hidden="1"/>
    </xf>
    <xf numFmtId="164" fontId="5" fillId="0" borderId="0" xfId="0" applyNumberFormat="1" applyFont="1" applyAlignment="1" applyProtection="1">
      <alignment horizontal="left"/>
      <protection hidden="1"/>
    </xf>
    <xf numFmtId="0" fontId="21" fillId="0" borderId="0" xfId="0" applyFont="1" applyAlignment="1" applyProtection="1">
      <alignment horizontal="center"/>
      <protection hidden="1"/>
    </xf>
    <xf numFmtId="0" fontId="21" fillId="0" borderId="0" xfId="0" applyFont="1" applyAlignment="1" applyProtection="1">
      <alignment horizontal="left"/>
      <protection hidden="1"/>
    </xf>
    <xf numFmtId="0" fontId="5" fillId="0" borderId="1" xfId="0" applyFont="1" applyBorder="1" applyAlignment="1" applyProtection="1">
      <alignment vertical="center" wrapText="1"/>
      <protection locked="0"/>
    </xf>
    <xf numFmtId="0" fontId="5" fillId="0" borderId="3" xfId="0" applyFont="1" applyBorder="1" applyAlignment="1" applyProtection="1">
      <alignment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right" vertical="center" wrapText="1"/>
      <protection locked="0"/>
    </xf>
    <xf numFmtId="1" fontId="4" fillId="0" borderId="0" xfId="0" applyNumberFormat="1" applyFont="1"/>
    <xf numFmtId="1" fontId="4" fillId="0" borderId="0" xfId="0" applyNumberFormat="1" applyFont="1" applyProtection="1">
      <protection locked="0" hidden="1"/>
    </xf>
    <xf numFmtId="0" fontId="4" fillId="5" borderId="9" xfId="0" applyFont="1" applyFill="1" applyBorder="1" applyAlignment="1" applyProtection="1">
      <alignment horizontal="center" vertical="center" wrapText="1"/>
      <protection hidden="1"/>
    </xf>
    <xf numFmtId="1" fontId="5" fillId="6" borderId="6" xfId="2" applyNumberFormat="1" applyFont="1" applyFill="1" applyBorder="1" applyAlignment="1" applyProtection="1">
      <alignment horizontal="center" vertical="center"/>
      <protection locked="0" hidden="1"/>
    </xf>
    <xf numFmtId="164" fontId="5" fillId="0" borderId="0" xfId="0" applyNumberFormat="1" applyFont="1" applyAlignment="1" applyProtection="1">
      <alignment horizontal="left"/>
      <protection locked="0" hidden="1"/>
    </xf>
    <xf numFmtId="164" fontId="5" fillId="0" borderId="1" xfId="0" applyNumberFormat="1" applyFont="1" applyBorder="1" applyAlignment="1" applyProtection="1">
      <alignment horizontal="center"/>
      <protection locked="0" hidden="1"/>
    </xf>
    <xf numFmtId="1" fontId="5" fillId="0" borderId="1" xfId="0" applyNumberFormat="1" applyFont="1" applyBorder="1" applyAlignment="1" applyProtection="1">
      <alignment horizontal="center" vertical="center"/>
      <protection locked="0" hidden="1"/>
    </xf>
    <xf numFmtId="0" fontId="13" fillId="0" borderId="0" xfId="0" applyFont="1" applyAlignment="1">
      <alignment horizontal="right" vertical="center"/>
    </xf>
    <xf numFmtId="0" fontId="30" fillId="0" borderId="12" xfId="0" applyFont="1" applyBorder="1" applyAlignment="1">
      <alignment wrapText="1"/>
    </xf>
    <xf numFmtId="0" fontId="31" fillId="0" borderId="7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wrapText="1"/>
    </xf>
    <xf numFmtId="0" fontId="31" fillId="0" borderId="1" xfId="0" applyFont="1" applyBorder="1" applyAlignment="1">
      <alignment horizontal="center" wrapText="1"/>
    </xf>
    <xf numFmtId="0" fontId="30" fillId="0" borderId="0" xfId="0" applyFont="1" applyAlignment="1">
      <alignment wrapText="1"/>
    </xf>
    <xf numFmtId="0" fontId="32" fillId="0" borderId="0" xfId="0" applyFont="1" applyAlignment="1">
      <alignment horizontal="left"/>
    </xf>
    <xf numFmtId="0" fontId="30" fillId="0" borderId="0" xfId="0" applyFont="1" applyAlignment="1">
      <alignment horizontal="right" wrapText="1"/>
    </xf>
    <xf numFmtId="0" fontId="30" fillId="0" borderId="0" xfId="0" applyFont="1" applyAlignment="1">
      <alignment horizontal="left"/>
    </xf>
    <xf numFmtId="0" fontId="30" fillId="0" borderId="0" xfId="0" applyFont="1" applyAlignment="1">
      <alignment vertical="center"/>
    </xf>
    <xf numFmtId="0" fontId="5" fillId="0" borderId="0" xfId="0" applyFont="1" applyAlignment="1" applyProtection="1">
      <alignment horizontal="left"/>
      <protection locked="0" hidden="1"/>
    </xf>
    <xf numFmtId="0" fontId="5" fillId="9" borderId="0" xfId="0" applyFont="1" applyFill="1" applyAlignment="1" applyProtection="1">
      <alignment horizontal="left"/>
      <protection hidden="1"/>
    </xf>
    <xf numFmtId="0" fontId="5" fillId="9" borderId="0" xfId="0" applyFont="1" applyFill="1" applyProtection="1">
      <protection hidden="1"/>
    </xf>
    <xf numFmtId="164" fontId="5" fillId="9" borderId="1" xfId="0" applyNumberFormat="1" applyFont="1" applyFill="1" applyBorder="1" applyAlignment="1" applyProtection="1">
      <alignment horizontal="center"/>
      <protection hidden="1"/>
    </xf>
    <xf numFmtId="2" fontId="5" fillId="9" borderId="1" xfId="0" applyNumberFormat="1" applyFont="1" applyFill="1" applyBorder="1" applyAlignment="1" applyProtection="1">
      <alignment horizontal="center"/>
      <protection hidden="1"/>
    </xf>
    <xf numFmtId="2" fontId="5" fillId="9" borderId="0" xfId="0" applyNumberFormat="1" applyFont="1" applyFill="1" applyAlignment="1" applyProtection="1">
      <alignment horizontal="center"/>
      <protection hidden="1"/>
    </xf>
    <xf numFmtId="164" fontId="5" fillId="9" borderId="0" xfId="0" applyNumberFormat="1" applyFont="1" applyFill="1" applyAlignment="1" applyProtection="1">
      <alignment horizontal="center"/>
      <protection hidden="1"/>
    </xf>
    <xf numFmtId="0" fontId="5" fillId="9" borderId="0" xfId="0" applyFont="1" applyFill="1" applyAlignment="1" applyProtection="1">
      <alignment horizontal="center"/>
      <protection hidden="1"/>
    </xf>
    <xf numFmtId="0" fontId="0" fillId="9" borderId="0" xfId="0" applyFill="1" applyProtection="1">
      <protection hidden="1"/>
    </xf>
    <xf numFmtId="0" fontId="19" fillId="9" borderId="0" xfId="0" applyFont="1" applyFill="1" applyProtection="1">
      <protection hidden="1"/>
    </xf>
    <xf numFmtId="3" fontId="5" fillId="9" borderId="0" xfId="0" applyNumberFormat="1" applyFont="1" applyFill="1" applyAlignment="1" applyProtection="1">
      <alignment horizontal="center"/>
      <protection hidden="1"/>
    </xf>
    <xf numFmtId="0" fontId="11" fillId="2" borderId="5" xfId="0" applyFont="1" applyFill="1" applyBorder="1" applyAlignment="1" applyProtection="1">
      <alignment horizontal="center" vertical="center" wrapText="1"/>
      <protection locked="0"/>
    </xf>
    <xf numFmtId="1" fontId="9" fillId="2" borderId="1" xfId="2" applyNumberFormat="1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12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27" fillId="0" borderId="0" xfId="3" applyFont="1" applyAlignment="1">
      <alignment horizontal="center" wrapText="1"/>
    </xf>
    <xf numFmtId="14" fontId="15" fillId="0" borderId="0" xfId="0" applyNumberFormat="1" applyFont="1" applyAlignment="1" applyProtection="1">
      <alignment horizontal="center" vertical="center" wrapText="1"/>
      <protection hidden="1"/>
    </xf>
    <xf numFmtId="166" fontId="15" fillId="0" borderId="0" xfId="0" applyNumberFormat="1" applyFont="1" applyAlignment="1" applyProtection="1">
      <alignment horizontal="center" vertical="center" wrapText="1"/>
      <protection hidden="1"/>
    </xf>
    <xf numFmtId="0" fontId="15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>
      <alignment horizontal="center"/>
    </xf>
    <xf numFmtId="14" fontId="15" fillId="0" borderId="3" xfId="0" applyNumberFormat="1" applyFont="1" applyBorder="1" applyAlignment="1" applyProtection="1">
      <alignment horizontal="left"/>
      <protection locked="0"/>
    </xf>
    <xf numFmtId="0" fontId="5" fillId="0" borderId="3" xfId="0" applyFont="1" applyBorder="1" applyAlignment="1">
      <alignment horizontal="center"/>
    </xf>
    <xf numFmtId="14" fontId="15" fillId="0" borderId="7" xfId="0" applyNumberFormat="1" applyFont="1" applyBorder="1" applyAlignment="1" applyProtection="1">
      <alignment horizontal="left"/>
      <protection locked="0"/>
    </xf>
    <xf numFmtId="14" fontId="15" fillId="0" borderId="8" xfId="0" applyNumberFormat="1" applyFont="1" applyBorder="1" applyAlignment="1" applyProtection="1">
      <alignment horizontal="left"/>
      <protection locked="0"/>
    </xf>
    <xf numFmtId="14" fontId="15" fillId="0" borderId="9" xfId="0" applyNumberFormat="1" applyFont="1" applyBorder="1" applyAlignment="1" applyProtection="1">
      <alignment horizontal="left"/>
      <protection locked="0"/>
    </xf>
    <xf numFmtId="0" fontId="5" fillId="0" borderId="7" xfId="0" applyFont="1" applyBorder="1" applyAlignment="1">
      <alignment horizontal="left"/>
    </xf>
    <xf numFmtId="0" fontId="5" fillId="0" borderId="8" xfId="0" applyFont="1" applyBorder="1" applyAlignment="1">
      <alignment horizontal="left"/>
    </xf>
    <xf numFmtId="0" fontId="5" fillId="0" borderId="9" xfId="0" applyFont="1" applyBorder="1" applyAlignment="1">
      <alignment horizontal="left"/>
    </xf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5" xfId="0" applyFont="1" applyBorder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/>
      <protection locked="0"/>
    </xf>
    <xf numFmtId="0" fontId="5" fillId="0" borderId="17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21" xfId="0" applyFont="1" applyBorder="1" applyAlignment="1" applyProtection="1">
      <alignment horizontal="center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5" fillId="0" borderId="19" xfId="0" applyFont="1" applyBorder="1" applyAlignment="1" applyProtection="1">
      <alignment horizontal="center"/>
      <protection locked="0"/>
    </xf>
    <xf numFmtId="0" fontId="5" fillId="0" borderId="20" xfId="0" applyFont="1" applyBorder="1" applyAlignment="1" applyProtection="1">
      <alignment horizontal="center"/>
      <protection locked="0"/>
    </xf>
    <xf numFmtId="0" fontId="5" fillId="0" borderId="22" xfId="0" applyFont="1" applyBorder="1" applyAlignment="1" applyProtection="1">
      <alignment horizontal="center"/>
      <protection locked="0"/>
    </xf>
    <xf numFmtId="0" fontId="5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29" fillId="0" borderId="0" xfId="0" applyFont="1" applyAlignment="1" applyProtection="1">
      <alignment horizontal="center" vertical="center" wrapText="1"/>
      <protection locked="0"/>
    </xf>
    <xf numFmtId="14" fontId="15" fillId="0" borderId="0" xfId="0" applyNumberFormat="1" applyFont="1" applyAlignment="1" applyProtection="1">
      <alignment horizontal="left" vertical="center" wrapText="1"/>
      <protection locked="0" hidden="1"/>
    </xf>
    <xf numFmtId="0" fontId="5" fillId="0" borderId="7" xfId="0" applyFont="1" applyBorder="1" applyAlignment="1" applyProtection="1">
      <alignment horizontal="center" vertical="center" wrapText="1"/>
      <protection hidden="1"/>
    </xf>
    <xf numFmtId="0" fontId="5" fillId="0" borderId="9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left"/>
      <protection hidden="1"/>
    </xf>
    <xf numFmtId="0" fontId="5" fillId="0" borderId="8" xfId="0" applyFont="1" applyBorder="1" applyAlignment="1" applyProtection="1">
      <alignment horizontal="left"/>
      <protection hidden="1"/>
    </xf>
    <xf numFmtId="0" fontId="5" fillId="0" borderId="9" xfId="0" applyFont="1" applyBorder="1" applyAlignment="1" applyProtection="1">
      <alignment horizontal="left"/>
      <protection hidden="1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left" vertical="center"/>
      <protection hidden="1"/>
    </xf>
    <xf numFmtId="0" fontId="24" fillId="0" borderId="0" xfId="0" applyFont="1" applyAlignment="1">
      <alignment horizontal="center"/>
    </xf>
    <xf numFmtId="0" fontId="24" fillId="0" borderId="0" xfId="0" applyFont="1" applyAlignment="1" applyProtection="1">
      <alignment horizontal="left" vertical="center" wrapText="1"/>
      <protection locked="0" hidden="1"/>
    </xf>
    <xf numFmtId="0" fontId="24" fillId="0" borderId="0" xfId="0" applyFont="1" applyAlignment="1" applyProtection="1">
      <alignment horizontal="center"/>
      <protection locked="0" hidden="1"/>
    </xf>
    <xf numFmtId="0" fontId="24" fillId="0" borderId="0" xfId="0" applyFont="1" applyAlignment="1">
      <alignment horizontal="left" vertical="center" wrapText="1"/>
    </xf>
    <xf numFmtId="0" fontId="31" fillId="0" borderId="7" xfId="0" applyFont="1" applyBorder="1" applyAlignment="1">
      <alignment horizontal="left" wrapText="1"/>
    </xf>
    <xf numFmtId="0" fontId="31" fillId="0" borderId="8" xfId="0" applyFont="1" applyBorder="1" applyAlignment="1">
      <alignment horizontal="left" wrapText="1"/>
    </xf>
    <xf numFmtId="0" fontId="31" fillId="0" borderId="9" xfId="0" applyFont="1" applyBorder="1" applyAlignment="1">
      <alignment horizontal="left" wrapText="1"/>
    </xf>
    <xf numFmtId="0" fontId="31" fillId="3" borderId="1" xfId="0" applyFont="1" applyFill="1" applyBorder="1" applyAlignment="1">
      <alignment wrapText="1"/>
    </xf>
    <xf numFmtId="0" fontId="31" fillId="0" borderId="1" xfId="0" applyFont="1" applyBorder="1" applyAlignment="1">
      <alignment wrapText="1"/>
    </xf>
    <xf numFmtId="0" fontId="9" fillId="0" borderId="0" xfId="0" applyFont="1" applyAlignment="1">
      <alignment horizontal="center" wrapText="1"/>
    </xf>
    <xf numFmtId="0" fontId="31" fillId="0" borderId="23" xfId="0" applyFont="1" applyBorder="1" applyAlignment="1">
      <alignment horizontal="center" vertical="center" wrapText="1"/>
    </xf>
    <xf numFmtId="0" fontId="31" fillId="0" borderId="24" xfId="0" applyFont="1" applyBorder="1" applyAlignment="1">
      <alignment horizontal="center" vertical="center" wrapText="1"/>
    </xf>
    <xf numFmtId="0" fontId="31" fillId="0" borderId="25" xfId="0" applyFont="1" applyBorder="1" applyAlignment="1">
      <alignment horizontal="center" vertical="center" wrapText="1"/>
    </xf>
    <xf numFmtId="0" fontId="31" fillId="0" borderId="1" xfId="0" applyFont="1" applyBorder="1" applyAlignment="1">
      <alignment vertical="center" wrapText="1"/>
    </xf>
    <xf numFmtId="0" fontId="5" fillId="0" borderId="0" xfId="0" applyFont="1" applyAlignment="1">
      <alignment horizontal="center" wrapText="1"/>
    </xf>
  </cellXfs>
  <cellStyles count="4">
    <cellStyle name="Excel Built-in Normal" xfId="3" xr:uid="{00000000-0005-0000-0000-000000000000}"/>
    <cellStyle name="Гиперссылка" xfId="1" builtinId="8"/>
    <cellStyle name="Обычный" xfId="0" builtinId="0"/>
    <cellStyle name="Обычный_Лист1" xfId="2" xr:uid="{00000000-0005-0000-0000-000003000000}"/>
  </cellStyles>
  <dxfs count="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33618</xdr:rowOff>
    </xdr:from>
    <xdr:to>
      <xdr:col>3</xdr:col>
      <xdr:colOff>313764</xdr:colOff>
      <xdr:row>8</xdr:row>
      <xdr:rowOff>281268</xdr:rowOff>
    </xdr:to>
    <xdr:pic>
      <xdr:nvPicPr>
        <xdr:cNvPr id="1047" name="Picture 2" hidden="1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618"/>
          <a:ext cx="2454088" cy="21190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56030</xdr:colOff>
      <xdr:row>0</xdr:row>
      <xdr:rowOff>33618</xdr:rowOff>
    </xdr:from>
    <xdr:to>
      <xdr:col>3</xdr:col>
      <xdr:colOff>493139</xdr:colOff>
      <xdr:row>8</xdr:row>
      <xdr:rowOff>264939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736" y="33618"/>
          <a:ext cx="2084374" cy="20578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0</xdr:colOff>
      <xdr:row>8</xdr:row>
      <xdr:rowOff>161925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61925"/>
          <a:ext cx="1295400" cy="1295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ultrafasad.com?subject=&#1047;&#1072;&#1082;&#1072;&#1079;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info@ultrafasad.com?subject=&#1047;&#1072;&#1082;&#1072;&#1079;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AJ127"/>
  <sheetViews>
    <sheetView showGridLines="0" zoomScale="85" zoomScaleNormal="85" workbookViewId="0">
      <selection activeCell="AC21" sqref="AC21"/>
    </sheetView>
  </sheetViews>
  <sheetFormatPr defaultColWidth="11.5703125" defaultRowHeight="12.75" x14ac:dyDescent="0.2"/>
  <cols>
    <col min="1" max="1" width="3" customWidth="1"/>
    <col min="2" max="2" width="8.28515625" customWidth="1"/>
    <col min="3" max="4" width="16.42578125" customWidth="1"/>
    <col min="5" max="5" width="8.140625" customWidth="1"/>
    <col min="6" max="6" width="9.7109375" customWidth="1"/>
    <col min="7" max="7" width="20.140625" hidden="1" customWidth="1"/>
    <col min="8" max="8" width="10.5703125" customWidth="1"/>
    <col min="9" max="9" width="7.28515625" customWidth="1"/>
    <col min="10" max="11" width="12.28515625" customWidth="1"/>
    <col min="12" max="14" width="11.42578125" customWidth="1"/>
    <col min="15" max="17" width="12.28515625" hidden="1" customWidth="1"/>
    <col min="18" max="18" width="10.42578125" customWidth="1"/>
    <col min="19" max="19" width="20.140625" customWidth="1"/>
    <col min="20" max="20" width="13" customWidth="1"/>
    <col min="21" max="21" width="13" hidden="1" customWidth="1"/>
    <col min="22" max="22" width="18.7109375" hidden="1" customWidth="1"/>
    <col min="23" max="23" width="13" customWidth="1"/>
    <col min="24" max="27" width="13" hidden="1" customWidth="1"/>
    <col min="28" max="28" width="12.85546875" customWidth="1"/>
    <col min="29" max="29" width="14" customWidth="1"/>
    <col min="30" max="31" width="12.140625" customWidth="1"/>
    <col min="32" max="32" width="12.85546875" customWidth="1"/>
    <col min="33" max="33" width="11.140625" customWidth="1"/>
    <col min="34" max="34" width="21" customWidth="1"/>
    <col min="35" max="35" width="12.28515625" customWidth="1"/>
    <col min="36" max="36" width="11.5703125" customWidth="1"/>
    <col min="37" max="37" width="63.5703125" customWidth="1"/>
    <col min="38" max="39" width="11.5703125" customWidth="1"/>
    <col min="40" max="40" width="18" customWidth="1"/>
  </cols>
  <sheetData>
    <row r="1" spans="1:36" ht="20.25" x14ac:dyDescent="0.3">
      <c r="B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6"/>
      <c r="AD1" s="6"/>
      <c r="AE1" s="6"/>
      <c r="AF1" s="6"/>
      <c r="AG1" s="6"/>
      <c r="AH1" s="6"/>
      <c r="AI1" s="16" t="s">
        <v>0</v>
      </c>
    </row>
    <row r="2" spans="1:36" ht="18" x14ac:dyDescent="0.25">
      <c r="B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12"/>
      <c r="AC2" s="13"/>
      <c r="AD2" s="13"/>
      <c r="AE2" s="13"/>
      <c r="AF2" s="13"/>
      <c r="AG2" s="13"/>
      <c r="AH2" s="13"/>
      <c r="AI2" s="14" t="s">
        <v>67</v>
      </c>
    </row>
    <row r="3" spans="1:36" ht="15.75" customHeight="1" x14ac:dyDescent="0.25">
      <c r="B3" s="2"/>
      <c r="D3" s="2"/>
      <c r="E3" t="s">
        <v>1</v>
      </c>
      <c r="R3" s="10"/>
      <c r="S3" s="10"/>
      <c r="T3" s="10"/>
      <c r="U3" s="10"/>
      <c r="V3" s="10"/>
      <c r="W3" s="10"/>
      <c r="X3" s="10"/>
      <c r="Y3" s="10"/>
      <c r="Z3" s="10"/>
      <c r="AA3" s="10"/>
      <c r="AC3" s="13"/>
      <c r="AD3" s="13"/>
      <c r="AE3" s="13"/>
      <c r="AF3" s="14"/>
      <c r="AG3" s="14"/>
      <c r="AH3" s="13"/>
      <c r="AI3" s="14" t="s">
        <v>68</v>
      </c>
    </row>
    <row r="4" spans="1:36" ht="18" x14ac:dyDescent="0.25">
      <c r="B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12"/>
      <c r="AC4" s="13"/>
      <c r="AD4" s="13"/>
      <c r="AE4" s="13"/>
      <c r="AF4" s="13"/>
      <c r="AG4" s="13"/>
      <c r="AH4" s="13"/>
      <c r="AI4" s="14" t="s">
        <v>313</v>
      </c>
    </row>
    <row r="5" spans="1:36" ht="18" x14ac:dyDescent="0.25">
      <c r="B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12"/>
      <c r="AC5" s="13"/>
      <c r="AD5" s="13"/>
      <c r="AE5" s="13"/>
      <c r="AF5" s="13"/>
      <c r="AG5" s="13"/>
      <c r="AH5" s="13"/>
      <c r="AI5" s="19" t="s">
        <v>54</v>
      </c>
    </row>
    <row r="6" spans="1:36" ht="18" x14ac:dyDescent="0.25">
      <c r="B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12"/>
      <c r="AC6" s="15"/>
      <c r="AD6" s="15"/>
      <c r="AE6" s="15"/>
      <c r="AF6" s="15"/>
      <c r="AG6" s="15"/>
      <c r="AH6" s="18"/>
      <c r="AI6" s="18" t="s">
        <v>316</v>
      </c>
    </row>
    <row r="7" spans="1:36" ht="14.25" x14ac:dyDescent="0.2">
      <c r="A7" s="22"/>
      <c r="B7" s="50"/>
      <c r="C7" s="22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1"/>
      <c r="AC7" s="52"/>
      <c r="AD7" s="52"/>
      <c r="AE7" s="52"/>
      <c r="AF7" s="52"/>
      <c r="AG7" s="52"/>
      <c r="AH7" s="52"/>
      <c r="AI7" s="53"/>
      <c r="AJ7" s="22"/>
    </row>
    <row r="8" spans="1:36" ht="23.25" customHeight="1" x14ac:dyDescent="0.2">
      <c r="A8" s="22"/>
      <c r="B8" s="21"/>
      <c r="C8" s="21"/>
      <c r="E8" s="118"/>
      <c r="F8" s="118"/>
      <c r="G8" s="118"/>
      <c r="H8" s="268" t="s">
        <v>315</v>
      </c>
      <c r="I8" s="268"/>
      <c r="J8" s="268"/>
      <c r="K8" s="268"/>
      <c r="L8" s="268"/>
      <c r="M8" s="268"/>
      <c r="N8" s="268"/>
      <c r="O8" s="268"/>
      <c r="P8" s="26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22"/>
    </row>
    <row r="9" spans="1:36" ht="26.25" customHeight="1" x14ac:dyDescent="0.4">
      <c r="A9" s="22"/>
      <c r="B9" s="21"/>
      <c r="C9" s="21"/>
      <c r="D9" s="54"/>
      <c r="E9" s="54"/>
      <c r="F9" s="54"/>
      <c r="G9" s="54"/>
      <c r="H9" s="54"/>
      <c r="I9" s="238" t="s">
        <v>69</v>
      </c>
      <c r="J9" s="272" t="s">
        <v>16</v>
      </c>
      <c r="K9" s="272"/>
      <c r="L9" s="113"/>
      <c r="M9" s="55"/>
      <c r="N9" s="55"/>
      <c r="O9" s="55"/>
      <c r="P9" s="55"/>
      <c r="Q9" s="55"/>
      <c r="U9" s="113"/>
      <c r="V9" s="113"/>
      <c r="W9" s="113"/>
      <c r="X9" s="113"/>
      <c r="Y9" s="113"/>
      <c r="Z9" s="113"/>
      <c r="AA9" s="113"/>
      <c r="AB9" s="55"/>
      <c r="AC9" s="54"/>
      <c r="AD9" s="54"/>
      <c r="AE9" s="54"/>
      <c r="AF9" s="54"/>
      <c r="AG9" s="54"/>
      <c r="AH9" s="54"/>
      <c r="AI9" s="54"/>
      <c r="AJ9" s="22"/>
    </row>
    <row r="10" spans="1:36" s="5" customFormat="1" ht="27.75" x14ac:dyDescent="0.25">
      <c r="A10" s="20"/>
      <c r="B10" s="271" t="s">
        <v>73</v>
      </c>
      <c r="C10" s="271"/>
      <c r="D10" s="300"/>
      <c r="E10" s="300"/>
      <c r="F10" s="300"/>
      <c r="G10" s="300"/>
      <c r="H10" s="300"/>
      <c r="I10" s="227"/>
      <c r="J10" s="228"/>
      <c r="K10" s="228"/>
      <c r="L10" s="228"/>
      <c r="M10" s="229"/>
      <c r="N10" s="229"/>
      <c r="O10" s="111"/>
      <c r="P10" s="111"/>
      <c r="Q10" s="111"/>
      <c r="R10" s="230"/>
      <c r="S10" s="230"/>
      <c r="T10" s="56"/>
      <c r="U10" s="56"/>
      <c r="V10" s="56"/>
      <c r="W10" s="56"/>
      <c r="X10" s="56"/>
      <c r="Y10" s="56"/>
      <c r="Z10" s="56"/>
      <c r="AA10" s="56"/>
      <c r="AC10" s="107"/>
      <c r="AD10" s="107"/>
      <c r="AE10" s="142" t="s">
        <v>18</v>
      </c>
      <c r="AF10" s="301"/>
      <c r="AG10" s="301"/>
      <c r="AH10" s="273"/>
      <c r="AI10" s="273"/>
      <c r="AJ10" s="20"/>
    </row>
    <row r="11" spans="1:36" ht="15.75" customHeight="1" x14ac:dyDescent="0.2">
      <c r="A11" s="22"/>
      <c r="B11" s="57"/>
      <c r="C11" s="85" t="s">
        <v>74</v>
      </c>
      <c r="D11" s="58"/>
      <c r="E11" s="58"/>
      <c r="F11" s="58"/>
      <c r="G11" s="79"/>
      <c r="H11" s="58"/>
      <c r="I11" s="58"/>
      <c r="J11" s="59"/>
      <c r="K11" s="59"/>
      <c r="L11" s="59"/>
      <c r="M11" s="59"/>
      <c r="N11" s="59"/>
      <c r="O11" s="59"/>
      <c r="P11" s="59"/>
      <c r="Q11" s="59"/>
      <c r="S11" s="55"/>
      <c r="T11" s="55"/>
      <c r="U11" s="55"/>
      <c r="V11" s="55"/>
      <c r="W11" s="55"/>
      <c r="X11" s="55"/>
      <c r="Y11" s="55"/>
      <c r="Z11" s="55"/>
      <c r="AA11" s="55"/>
      <c r="AC11" s="106"/>
      <c r="AD11" s="106"/>
      <c r="AE11" s="142" t="s">
        <v>70</v>
      </c>
      <c r="AF11" s="275"/>
      <c r="AG11" s="275"/>
      <c r="AH11" s="274"/>
      <c r="AI11" s="274"/>
      <c r="AJ11" s="22"/>
    </row>
    <row r="12" spans="1:36" ht="15.75" customHeight="1" x14ac:dyDescent="0.2">
      <c r="A12" s="22"/>
      <c r="B12" s="57"/>
      <c r="C12" s="60"/>
      <c r="D12" s="57"/>
      <c r="E12" s="57"/>
      <c r="F12" s="57"/>
      <c r="G12" s="57"/>
      <c r="H12" s="84"/>
      <c r="I12" s="84"/>
      <c r="J12" s="57"/>
      <c r="R12" s="55"/>
      <c r="S12" s="55"/>
      <c r="T12" s="55"/>
      <c r="U12" s="55"/>
      <c r="V12" s="55"/>
      <c r="W12" s="55"/>
      <c r="X12" s="55"/>
      <c r="Y12" s="55"/>
      <c r="Z12" s="55"/>
      <c r="AA12" s="55"/>
      <c r="AC12" s="106"/>
      <c r="AD12" s="106"/>
      <c r="AE12" s="142" t="s">
        <v>71</v>
      </c>
      <c r="AF12" s="275"/>
      <c r="AG12" s="275"/>
      <c r="AH12" s="274"/>
      <c r="AI12" s="274"/>
      <c r="AJ12" s="22"/>
    </row>
    <row r="13" spans="1:36" ht="20.25" x14ac:dyDescent="0.2">
      <c r="A13" s="22"/>
      <c r="B13" s="57"/>
      <c r="C13" s="60"/>
      <c r="D13" s="61"/>
      <c r="E13" s="57"/>
      <c r="F13" s="57"/>
      <c r="G13" s="57"/>
      <c r="H13" s="55"/>
      <c r="I13" s="55"/>
      <c r="J13" s="55"/>
      <c r="K13" s="55"/>
      <c r="L13" s="55"/>
      <c r="M13" s="55"/>
      <c r="N13" s="55"/>
      <c r="O13" s="55"/>
      <c r="P13" s="55"/>
      <c r="Q13" s="55"/>
      <c r="S13" s="55"/>
      <c r="T13" s="55"/>
      <c r="U13" s="55"/>
      <c r="V13" s="55"/>
      <c r="W13" s="55"/>
      <c r="X13" s="55"/>
      <c r="Y13" s="55"/>
      <c r="Z13" s="55"/>
      <c r="AA13" s="55"/>
      <c r="AC13" s="106"/>
      <c r="AD13" s="106"/>
      <c r="AE13" s="142" t="s">
        <v>72</v>
      </c>
      <c r="AF13" s="275"/>
      <c r="AG13" s="275"/>
      <c r="AH13" s="274"/>
      <c r="AI13" s="274"/>
      <c r="AJ13" s="22"/>
    </row>
    <row r="14" spans="1:36" ht="20.25" x14ac:dyDescent="0.2">
      <c r="A14" s="22"/>
      <c r="B14" s="62"/>
      <c r="C14" s="62"/>
      <c r="D14" s="62"/>
      <c r="E14" s="62"/>
      <c r="F14" s="62"/>
      <c r="G14" s="62"/>
      <c r="H14" s="270" t="s">
        <v>75</v>
      </c>
      <c r="I14" s="270"/>
      <c r="J14" s="270"/>
      <c r="K14" s="270"/>
      <c r="L14" s="270"/>
      <c r="M14" s="270"/>
      <c r="N14" s="270"/>
      <c r="O14" s="270"/>
      <c r="P14" s="270"/>
      <c r="Q14" s="270"/>
      <c r="R14" s="270"/>
      <c r="S14" s="270"/>
      <c r="T14" s="270"/>
      <c r="U14" s="110"/>
      <c r="V14" s="110"/>
      <c r="W14" s="110"/>
      <c r="X14" s="110"/>
      <c r="Y14" s="110"/>
      <c r="Z14" s="110"/>
      <c r="AA14" s="110"/>
      <c r="AC14" s="106"/>
      <c r="AD14" s="106"/>
      <c r="AE14" s="142" t="s">
        <v>19</v>
      </c>
      <c r="AF14" s="275"/>
      <c r="AG14" s="275"/>
      <c r="AH14" s="274"/>
      <c r="AI14" s="274"/>
      <c r="AJ14" s="22"/>
    </row>
    <row r="15" spans="1:36" ht="15.75" x14ac:dyDescent="0.2">
      <c r="A15" s="22"/>
      <c r="B15" s="63"/>
      <c r="C15" s="63"/>
      <c r="D15" s="63"/>
      <c r="E15" s="63"/>
      <c r="F15" s="63"/>
      <c r="G15" s="63"/>
      <c r="H15" s="270" t="s">
        <v>76</v>
      </c>
      <c r="I15" s="270"/>
      <c r="J15" s="270"/>
      <c r="K15" s="270"/>
      <c r="L15" s="270"/>
      <c r="M15" s="270"/>
      <c r="N15" s="270"/>
      <c r="O15" s="270"/>
      <c r="P15" s="270"/>
      <c r="Q15" s="270"/>
      <c r="R15" s="270"/>
      <c r="S15" s="270"/>
      <c r="T15" s="270"/>
      <c r="U15" s="270"/>
      <c r="V15" s="270"/>
      <c r="W15" s="270"/>
      <c r="X15" s="270"/>
      <c r="Y15" s="270"/>
      <c r="Z15" s="270"/>
      <c r="AA15" s="270"/>
      <c r="AB15" s="270"/>
      <c r="AC15" s="270"/>
      <c r="AD15" s="270"/>
      <c r="AE15" s="270"/>
      <c r="AF15" s="270"/>
      <c r="AG15" s="270"/>
      <c r="AH15" s="270"/>
      <c r="AI15" s="270"/>
      <c r="AJ15" s="22"/>
    </row>
    <row r="16" spans="1:36" ht="15.75" x14ac:dyDescent="0.2">
      <c r="A16" s="22"/>
      <c r="B16" s="63"/>
      <c r="C16" s="50"/>
      <c r="D16" s="50"/>
      <c r="E16" s="50"/>
      <c r="F16" s="50"/>
      <c r="G16" s="50"/>
      <c r="H16" s="270" t="s">
        <v>77</v>
      </c>
      <c r="I16" s="270"/>
      <c r="J16" s="270"/>
      <c r="K16" s="270"/>
      <c r="L16" s="270"/>
      <c r="M16" s="270"/>
      <c r="N16" s="270"/>
      <c r="O16" s="270"/>
      <c r="P16" s="270"/>
      <c r="Q16" s="270"/>
      <c r="R16" s="270"/>
      <c r="S16" s="270"/>
      <c r="T16" s="270"/>
      <c r="U16" s="270"/>
      <c r="V16" s="270"/>
      <c r="W16" s="270"/>
      <c r="X16" s="270"/>
      <c r="Y16" s="270"/>
      <c r="Z16" s="270"/>
      <c r="AA16" s="270"/>
      <c r="AB16" s="270"/>
      <c r="AC16" s="270"/>
      <c r="AD16" s="270"/>
      <c r="AE16" s="270"/>
      <c r="AF16" s="270"/>
      <c r="AG16" s="270"/>
      <c r="AH16" s="270"/>
      <c r="AI16" s="270"/>
      <c r="AJ16" s="22"/>
    </row>
    <row r="17" spans="1:36" ht="15.75" x14ac:dyDescent="0.2">
      <c r="A17" s="22"/>
      <c r="B17" s="63"/>
      <c r="C17" s="50"/>
      <c r="D17" s="50"/>
      <c r="E17" s="50"/>
      <c r="F17" s="50"/>
      <c r="G17" s="50"/>
      <c r="H17" s="270" t="s">
        <v>78</v>
      </c>
      <c r="I17" s="270"/>
      <c r="J17" s="270"/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  <c r="Y17" s="270"/>
      <c r="Z17" s="270"/>
      <c r="AA17" s="270"/>
      <c r="AB17" s="270"/>
      <c r="AC17" s="270"/>
      <c r="AD17" s="270"/>
      <c r="AE17" s="270"/>
      <c r="AF17" s="270"/>
      <c r="AG17" s="270"/>
      <c r="AH17" s="270"/>
      <c r="AI17" s="270"/>
      <c r="AJ17" s="22"/>
    </row>
    <row r="18" spans="1:36" s="3" customFormat="1" ht="12" customHeight="1" x14ac:dyDescent="0.4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</row>
    <row r="19" spans="1:36" ht="18" x14ac:dyDescent="0.25">
      <c r="B19" s="269" t="s">
        <v>327</v>
      </c>
      <c r="C19" s="269"/>
      <c r="D19" s="269"/>
      <c r="E19" s="269"/>
      <c r="F19" s="269"/>
      <c r="G19" s="269"/>
      <c r="H19" s="269"/>
      <c r="I19" s="269"/>
      <c r="J19" s="269"/>
      <c r="K19" s="269"/>
      <c r="L19" s="269"/>
      <c r="M19" s="269"/>
      <c r="N19" s="269"/>
      <c r="O19" s="269"/>
      <c r="P19" s="269"/>
      <c r="Q19" s="269"/>
      <c r="R19" s="269"/>
      <c r="S19" s="269"/>
      <c r="T19" s="269"/>
      <c r="U19" s="269"/>
      <c r="V19" s="269"/>
      <c r="W19" s="269"/>
      <c r="X19" s="269"/>
      <c r="Y19" s="269"/>
      <c r="Z19" s="269"/>
      <c r="AA19" s="269"/>
      <c r="AB19" s="269"/>
      <c r="AC19" s="269"/>
      <c r="AD19" s="269"/>
      <c r="AE19" s="269"/>
      <c r="AF19" s="269"/>
      <c r="AG19" s="269"/>
      <c r="AH19" s="269"/>
      <c r="AI19" s="269"/>
    </row>
    <row r="20" spans="1:36" ht="118.5" customHeight="1" x14ac:dyDescent="0.2">
      <c r="B20" s="121" t="s">
        <v>3</v>
      </c>
      <c r="C20" s="121" t="s">
        <v>80</v>
      </c>
      <c r="D20" s="121" t="s">
        <v>82</v>
      </c>
      <c r="E20" s="121" t="s">
        <v>81</v>
      </c>
      <c r="F20" s="121" t="s">
        <v>83</v>
      </c>
      <c r="G20" s="96" t="s">
        <v>282</v>
      </c>
      <c r="H20" s="121" t="s">
        <v>89</v>
      </c>
      <c r="I20" s="122" t="s">
        <v>308</v>
      </c>
      <c r="J20" s="298" t="s">
        <v>84</v>
      </c>
      <c r="K20" s="299"/>
      <c r="L20" s="298" t="s">
        <v>300</v>
      </c>
      <c r="M20" s="299"/>
      <c r="N20" s="147" t="s">
        <v>309</v>
      </c>
      <c r="O20" s="112" t="s">
        <v>289</v>
      </c>
      <c r="P20" s="96" t="s">
        <v>301</v>
      </c>
      <c r="Q20" s="96" t="s">
        <v>302</v>
      </c>
      <c r="R20" s="297" t="s">
        <v>85</v>
      </c>
      <c r="S20" s="297"/>
      <c r="T20" s="121" t="s">
        <v>86</v>
      </c>
      <c r="U20" s="116" t="s">
        <v>305</v>
      </c>
      <c r="V20" s="116" t="s">
        <v>310</v>
      </c>
      <c r="W20" s="96" t="s">
        <v>283</v>
      </c>
      <c r="X20" s="96" t="s">
        <v>312</v>
      </c>
      <c r="Y20" s="96" t="s">
        <v>303</v>
      </c>
      <c r="Z20" s="96" t="s">
        <v>311</v>
      </c>
      <c r="AA20" s="96" t="s">
        <v>304</v>
      </c>
      <c r="AB20" s="121" t="s">
        <v>90</v>
      </c>
      <c r="AC20" s="122" t="s">
        <v>87</v>
      </c>
      <c r="AD20" s="122" t="s">
        <v>306</v>
      </c>
      <c r="AE20" s="122" t="s">
        <v>307</v>
      </c>
      <c r="AF20" s="298" t="s">
        <v>204</v>
      </c>
      <c r="AG20" s="299"/>
      <c r="AH20" s="121" t="s">
        <v>79</v>
      </c>
      <c r="AI20" s="147" t="s">
        <v>88</v>
      </c>
    </row>
    <row r="21" spans="1:36" s="8" customFormat="1" ht="20.25" x14ac:dyDescent="0.2">
      <c r="B21" s="23">
        <v>1</v>
      </c>
      <c r="C21" s="130">
        <v>1200</v>
      </c>
      <c r="D21" s="130">
        <v>1000</v>
      </c>
      <c r="E21" s="130">
        <v>2</v>
      </c>
      <c r="F21" s="130">
        <v>22</v>
      </c>
      <c r="G21" s="131"/>
      <c r="H21" s="131"/>
      <c r="I21" s="132"/>
      <c r="J21" s="133"/>
      <c r="K21" s="131"/>
      <c r="L21" s="131"/>
      <c r="M21" s="130"/>
      <c r="N21" s="134"/>
      <c r="O21" s="261"/>
      <c r="P21" s="261"/>
      <c r="Q21" s="261"/>
      <c r="R21" s="131"/>
      <c r="S21" s="131"/>
      <c r="T21" s="131"/>
      <c r="U21" s="140"/>
      <c r="V21" s="140"/>
      <c r="W21" s="130"/>
      <c r="X21" s="138"/>
      <c r="Y21" s="138"/>
      <c r="Z21" s="138"/>
      <c r="AA21" s="138"/>
      <c r="AB21" s="131" t="s">
        <v>189</v>
      </c>
      <c r="AC21" s="132" t="s">
        <v>185</v>
      </c>
      <c r="AD21" s="135"/>
      <c r="AE21" s="135"/>
      <c r="AF21" s="136"/>
      <c r="AG21" s="136"/>
      <c r="AH21" s="136"/>
      <c r="AI21" s="123">
        <f t="shared" ref="AI21:AI43" si="0">C21*D21/1000000*E21</f>
        <v>2.4</v>
      </c>
    </row>
    <row r="22" spans="1:36" s="8" customFormat="1" ht="20.25" x14ac:dyDescent="0.2">
      <c r="B22" s="24">
        <v>2</v>
      </c>
      <c r="C22" s="130"/>
      <c r="D22" s="130"/>
      <c r="E22" s="130"/>
      <c r="F22" s="130"/>
      <c r="G22" s="131"/>
      <c r="H22" s="131"/>
      <c r="I22" s="132"/>
      <c r="J22" s="133"/>
      <c r="K22" s="131"/>
      <c r="L22" s="131"/>
      <c r="M22" s="130"/>
      <c r="N22" s="134"/>
      <c r="O22" s="261"/>
      <c r="P22" s="261"/>
      <c r="Q22" s="261"/>
      <c r="R22" s="131"/>
      <c r="S22" s="131"/>
      <c r="T22" s="131"/>
      <c r="U22" s="140"/>
      <c r="V22" s="140"/>
      <c r="W22" s="130"/>
      <c r="X22" s="138"/>
      <c r="Y22" s="138"/>
      <c r="Z22" s="138"/>
      <c r="AA22" s="138"/>
      <c r="AB22" s="131"/>
      <c r="AC22" s="132"/>
      <c r="AD22" s="135"/>
      <c r="AE22" s="135"/>
      <c r="AF22" s="136"/>
      <c r="AG22" s="136"/>
      <c r="AH22" s="136"/>
      <c r="AI22" s="123">
        <f t="shared" si="0"/>
        <v>0</v>
      </c>
    </row>
    <row r="23" spans="1:36" s="8" customFormat="1" ht="20.25" x14ac:dyDescent="0.2">
      <c r="B23" s="24">
        <v>3</v>
      </c>
      <c r="C23" s="130"/>
      <c r="D23" s="130"/>
      <c r="E23" s="130"/>
      <c r="F23" s="130"/>
      <c r="G23" s="131"/>
      <c r="H23" s="131"/>
      <c r="I23" s="132"/>
      <c r="J23" s="133"/>
      <c r="K23" s="131"/>
      <c r="L23" s="131"/>
      <c r="M23" s="130"/>
      <c r="N23" s="134"/>
      <c r="O23" s="261"/>
      <c r="P23" s="261"/>
      <c r="Q23" s="261"/>
      <c r="R23" s="131"/>
      <c r="S23" s="131"/>
      <c r="T23" s="131"/>
      <c r="U23" s="140"/>
      <c r="V23" s="140"/>
      <c r="W23" s="130"/>
      <c r="X23" s="138"/>
      <c r="Y23" s="138"/>
      <c r="Z23" s="138"/>
      <c r="AA23" s="138"/>
      <c r="AB23" s="131"/>
      <c r="AC23" s="132"/>
      <c r="AD23" s="135"/>
      <c r="AE23" s="135"/>
      <c r="AF23" s="136"/>
      <c r="AG23" s="136"/>
      <c r="AH23" s="136"/>
      <c r="AI23" s="123">
        <f t="shared" si="0"/>
        <v>0</v>
      </c>
    </row>
    <row r="24" spans="1:36" s="8" customFormat="1" ht="20.25" x14ac:dyDescent="0.2">
      <c r="B24" s="24">
        <v>4</v>
      </c>
      <c r="C24" s="130"/>
      <c r="D24" s="130"/>
      <c r="E24" s="130"/>
      <c r="F24" s="130"/>
      <c r="G24" s="131"/>
      <c r="H24" s="131"/>
      <c r="I24" s="132"/>
      <c r="J24" s="133"/>
      <c r="K24" s="131"/>
      <c r="L24" s="131"/>
      <c r="M24" s="130"/>
      <c r="N24" s="134"/>
      <c r="O24" s="261"/>
      <c r="P24" s="261"/>
      <c r="Q24" s="261"/>
      <c r="R24" s="131"/>
      <c r="S24" s="131"/>
      <c r="T24" s="131"/>
      <c r="U24" s="140"/>
      <c r="V24" s="140"/>
      <c r="W24" s="130"/>
      <c r="X24" s="138"/>
      <c r="Y24" s="138"/>
      <c r="Z24" s="138"/>
      <c r="AA24" s="138"/>
      <c r="AB24" s="131"/>
      <c r="AC24" s="132"/>
      <c r="AD24" s="135"/>
      <c r="AE24" s="135"/>
      <c r="AF24" s="136"/>
      <c r="AG24" s="136"/>
      <c r="AH24" s="136"/>
      <c r="AI24" s="123">
        <f t="shared" si="0"/>
        <v>0</v>
      </c>
    </row>
    <row r="25" spans="1:36" s="8" customFormat="1" ht="20.25" x14ac:dyDescent="0.2">
      <c r="B25" s="24">
        <v>5</v>
      </c>
      <c r="C25" s="130"/>
      <c r="D25" s="130"/>
      <c r="E25" s="130"/>
      <c r="F25" s="130"/>
      <c r="G25" s="131"/>
      <c r="H25" s="131"/>
      <c r="I25" s="132"/>
      <c r="J25" s="133"/>
      <c r="K25" s="131"/>
      <c r="L25" s="131"/>
      <c r="M25" s="130"/>
      <c r="N25" s="134"/>
      <c r="O25" s="261"/>
      <c r="P25" s="261"/>
      <c r="Q25" s="261"/>
      <c r="R25" s="131"/>
      <c r="S25" s="131"/>
      <c r="T25" s="131"/>
      <c r="U25" s="140"/>
      <c r="V25" s="140"/>
      <c r="W25" s="130"/>
      <c r="X25" s="138"/>
      <c r="Y25" s="138"/>
      <c r="Z25" s="138"/>
      <c r="AA25" s="138"/>
      <c r="AB25" s="131"/>
      <c r="AC25" s="132"/>
      <c r="AD25" s="135"/>
      <c r="AE25" s="135"/>
      <c r="AF25" s="136"/>
      <c r="AG25" s="136"/>
      <c r="AH25" s="136"/>
      <c r="AI25" s="123">
        <f t="shared" si="0"/>
        <v>0</v>
      </c>
    </row>
    <row r="26" spans="1:36" s="8" customFormat="1" ht="20.25" x14ac:dyDescent="0.2">
      <c r="B26" s="24">
        <v>6</v>
      </c>
      <c r="C26" s="133"/>
      <c r="D26" s="133"/>
      <c r="E26" s="262"/>
      <c r="F26" s="130"/>
      <c r="G26" s="138"/>
      <c r="H26" s="131"/>
      <c r="I26" s="132"/>
      <c r="J26" s="133"/>
      <c r="K26" s="131"/>
      <c r="L26" s="131"/>
      <c r="M26" s="130"/>
      <c r="N26" s="134"/>
      <c r="O26" s="261"/>
      <c r="P26" s="261"/>
      <c r="Q26" s="261"/>
      <c r="R26" s="131"/>
      <c r="S26" s="131"/>
      <c r="T26" s="131"/>
      <c r="U26" s="140"/>
      <c r="V26" s="140"/>
      <c r="W26" s="130"/>
      <c r="X26" s="138"/>
      <c r="Y26" s="138"/>
      <c r="Z26" s="138"/>
      <c r="AA26" s="138"/>
      <c r="AB26" s="131"/>
      <c r="AC26" s="132"/>
      <c r="AD26" s="135"/>
      <c r="AE26" s="135"/>
      <c r="AF26" s="136"/>
      <c r="AG26" s="136"/>
      <c r="AH26" s="136"/>
      <c r="AI26" s="123">
        <f t="shared" si="0"/>
        <v>0</v>
      </c>
    </row>
    <row r="27" spans="1:36" s="9" customFormat="1" ht="20.25" x14ac:dyDescent="0.3">
      <c r="B27" s="24">
        <v>7</v>
      </c>
      <c r="C27" s="133"/>
      <c r="D27" s="133"/>
      <c r="E27" s="262"/>
      <c r="F27" s="130"/>
      <c r="G27" s="138"/>
      <c r="H27" s="131"/>
      <c r="I27" s="132"/>
      <c r="J27" s="133"/>
      <c r="K27" s="131"/>
      <c r="L27" s="131"/>
      <c r="M27" s="130"/>
      <c r="N27" s="134"/>
      <c r="O27" s="261"/>
      <c r="P27" s="261"/>
      <c r="Q27" s="261"/>
      <c r="R27" s="131"/>
      <c r="S27" s="131"/>
      <c r="T27" s="131"/>
      <c r="U27" s="140"/>
      <c r="V27" s="140"/>
      <c r="W27" s="130"/>
      <c r="X27" s="138"/>
      <c r="Y27" s="138"/>
      <c r="Z27" s="138"/>
      <c r="AA27" s="138"/>
      <c r="AB27" s="131"/>
      <c r="AC27" s="132"/>
      <c r="AD27" s="135"/>
      <c r="AE27" s="135"/>
      <c r="AF27" s="136"/>
      <c r="AG27" s="136"/>
      <c r="AH27" s="136"/>
      <c r="AI27" s="123">
        <f t="shared" si="0"/>
        <v>0</v>
      </c>
      <c r="AJ27" s="8"/>
    </row>
    <row r="28" spans="1:36" s="9" customFormat="1" ht="20.25" x14ac:dyDescent="0.3">
      <c r="B28" s="24">
        <v>8</v>
      </c>
      <c r="C28" s="133"/>
      <c r="D28" s="133"/>
      <c r="E28" s="262"/>
      <c r="F28" s="130"/>
      <c r="G28" s="138"/>
      <c r="H28" s="131"/>
      <c r="I28" s="132"/>
      <c r="J28" s="133"/>
      <c r="K28" s="131"/>
      <c r="L28" s="131"/>
      <c r="M28" s="130"/>
      <c r="N28" s="134"/>
      <c r="O28" s="261"/>
      <c r="P28" s="261"/>
      <c r="Q28" s="261"/>
      <c r="R28" s="131"/>
      <c r="S28" s="131"/>
      <c r="T28" s="131"/>
      <c r="U28" s="140"/>
      <c r="V28" s="140"/>
      <c r="W28" s="130"/>
      <c r="X28" s="138"/>
      <c r="Y28" s="138"/>
      <c r="Z28" s="138"/>
      <c r="AA28" s="138"/>
      <c r="AB28" s="131"/>
      <c r="AC28" s="132"/>
      <c r="AD28" s="135"/>
      <c r="AE28" s="135"/>
      <c r="AF28" s="136"/>
      <c r="AG28" s="136"/>
      <c r="AH28" s="136"/>
      <c r="AI28" s="123">
        <f t="shared" si="0"/>
        <v>0</v>
      </c>
      <c r="AJ28" s="8"/>
    </row>
    <row r="29" spans="1:36" s="9" customFormat="1" ht="20.25" x14ac:dyDescent="0.3">
      <c r="B29" s="24">
        <v>9</v>
      </c>
      <c r="C29" s="133"/>
      <c r="D29" s="133"/>
      <c r="E29" s="262"/>
      <c r="F29" s="130"/>
      <c r="G29" s="138"/>
      <c r="H29" s="131"/>
      <c r="I29" s="132"/>
      <c r="J29" s="133"/>
      <c r="K29" s="131"/>
      <c r="L29" s="131"/>
      <c r="M29" s="130"/>
      <c r="N29" s="134"/>
      <c r="O29" s="261"/>
      <c r="P29" s="261"/>
      <c r="Q29" s="261"/>
      <c r="R29" s="131"/>
      <c r="S29" s="131"/>
      <c r="T29" s="131"/>
      <c r="U29" s="140"/>
      <c r="V29" s="140"/>
      <c r="W29" s="130"/>
      <c r="X29" s="138"/>
      <c r="Y29" s="138"/>
      <c r="Z29" s="138"/>
      <c r="AA29" s="138"/>
      <c r="AB29" s="131"/>
      <c r="AC29" s="132"/>
      <c r="AD29" s="135"/>
      <c r="AE29" s="135"/>
      <c r="AF29" s="136"/>
      <c r="AG29" s="136"/>
      <c r="AH29" s="136"/>
      <c r="AI29" s="123">
        <f t="shared" si="0"/>
        <v>0</v>
      </c>
      <c r="AJ29" s="8"/>
    </row>
    <row r="30" spans="1:36" s="9" customFormat="1" ht="20.25" x14ac:dyDescent="0.3">
      <c r="B30" s="24">
        <v>10</v>
      </c>
      <c r="C30" s="133"/>
      <c r="D30" s="133"/>
      <c r="E30" s="262"/>
      <c r="F30" s="130"/>
      <c r="G30" s="138"/>
      <c r="H30" s="131"/>
      <c r="I30" s="132"/>
      <c r="J30" s="133"/>
      <c r="K30" s="131"/>
      <c r="L30" s="131"/>
      <c r="M30" s="130"/>
      <c r="N30" s="134"/>
      <c r="O30" s="261"/>
      <c r="P30" s="261"/>
      <c r="Q30" s="261"/>
      <c r="R30" s="131"/>
      <c r="S30" s="131"/>
      <c r="T30" s="131"/>
      <c r="U30" s="140"/>
      <c r="V30" s="140"/>
      <c r="W30" s="130"/>
      <c r="X30" s="138"/>
      <c r="Y30" s="138"/>
      <c r="Z30" s="138"/>
      <c r="AA30" s="138"/>
      <c r="AB30" s="131"/>
      <c r="AC30" s="132"/>
      <c r="AD30" s="135"/>
      <c r="AE30" s="135"/>
      <c r="AF30" s="136"/>
      <c r="AG30" s="136"/>
      <c r="AH30" s="136"/>
      <c r="AI30" s="123">
        <f t="shared" si="0"/>
        <v>0</v>
      </c>
      <c r="AJ30" s="8"/>
    </row>
    <row r="31" spans="1:36" s="9" customFormat="1" ht="20.25" x14ac:dyDescent="0.3">
      <c r="B31" s="24">
        <v>11</v>
      </c>
      <c r="C31" s="133"/>
      <c r="D31" s="133"/>
      <c r="E31" s="262"/>
      <c r="F31" s="130"/>
      <c r="G31" s="138"/>
      <c r="H31" s="131"/>
      <c r="I31" s="132"/>
      <c r="J31" s="133"/>
      <c r="K31" s="131"/>
      <c r="L31" s="131"/>
      <c r="M31" s="130"/>
      <c r="N31" s="134"/>
      <c r="O31" s="261"/>
      <c r="P31" s="261"/>
      <c r="Q31" s="261"/>
      <c r="R31" s="131"/>
      <c r="S31" s="131"/>
      <c r="T31" s="131"/>
      <c r="U31" s="140"/>
      <c r="V31" s="140"/>
      <c r="W31" s="130"/>
      <c r="X31" s="138"/>
      <c r="Y31" s="138"/>
      <c r="Z31" s="138"/>
      <c r="AA31" s="138"/>
      <c r="AB31" s="131"/>
      <c r="AC31" s="132"/>
      <c r="AD31" s="135"/>
      <c r="AE31" s="135"/>
      <c r="AF31" s="136"/>
      <c r="AG31" s="136"/>
      <c r="AH31" s="136"/>
      <c r="AI31" s="123">
        <f t="shared" si="0"/>
        <v>0</v>
      </c>
      <c r="AJ31" s="8"/>
    </row>
    <row r="32" spans="1:36" s="9" customFormat="1" ht="20.25" x14ac:dyDescent="0.3">
      <c r="B32" s="24">
        <v>12</v>
      </c>
      <c r="C32" s="133"/>
      <c r="D32" s="133"/>
      <c r="E32" s="262"/>
      <c r="F32" s="130"/>
      <c r="G32" s="138"/>
      <c r="H32" s="131"/>
      <c r="I32" s="132"/>
      <c r="J32" s="133"/>
      <c r="K32" s="131"/>
      <c r="L32" s="131"/>
      <c r="M32" s="130"/>
      <c r="N32" s="134"/>
      <c r="O32" s="261"/>
      <c r="P32" s="261"/>
      <c r="Q32" s="261"/>
      <c r="R32" s="131"/>
      <c r="S32" s="131"/>
      <c r="T32" s="131"/>
      <c r="U32" s="140"/>
      <c r="V32" s="140"/>
      <c r="W32" s="130"/>
      <c r="X32" s="138"/>
      <c r="Y32" s="138"/>
      <c r="Z32" s="138"/>
      <c r="AA32" s="138"/>
      <c r="AB32" s="131"/>
      <c r="AC32" s="132"/>
      <c r="AD32" s="135"/>
      <c r="AE32" s="135"/>
      <c r="AF32" s="136"/>
      <c r="AG32" s="136"/>
      <c r="AH32" s="136"/>
      <c r="AI32" s="123">
        <f t="shared" si="0"/>
        <v>0</v>
      </c>
      <c r="AJ32" s="8"/>
    </row>
    <row r="33" spans="2:36" s="9" customFormat="1" ht="20.25" x14ac:dyDescent="0.3">
      <c r="B33" s="24">
        <v>13</v>
      </c>
      <c r="C33" s="130"/>
      <c r="D33" s="130"/>
      <c r="E33" s="130"/>
      <c r="F33" s="130"/>
      <c r="G33" s="138"/>
      <c r="H33" s="131"/>
      <c r="I33" s="132"/>
      <c r="J33" s="133"/>
      <c r="K33" s="131"/>
      <c r="L33" s="131"/>
      <c r="M33" s="130"/>
      <c r="N33" s="134"/>
      <c r="O33" s="261"/>
      <c r="P33" s="261"/>
      <c r="Q33" s="261"/>
      <c r="R33" s="131"/>
      <c r="S33" s="131"/>
      <c r="T33" s="131"/>
      <c r="U33" s="140"/>
      <c r="V33" s="140"/>
      <c r="W33" s="130"/>
      <c r="X33" s="138"/>
      <c r="Y33" s="138"/>
      <c r="Z33" s="138"/>
      <c r="AA33" s="138"/>
      <c r="AB33" s="131"/>
      <c r="AC33" s="132"/>
      <c r="AD33" s="135"/>
      <c r="AE33" s="135"/>
      <c r="AF33" s="136"/>
      <c r="AG33" s="136"/>
      <c r="AH33" s="136"/>
      <c r="AI33" s="123">
        <f t="shared" si="0"/>
        <v>0</v>
      </c>
      <c r="AJ33" s="8"/>
    </row>
    <row r="34" spans="2:36" s="9" customFormat="1" ht="20.25" x14ac:dyDescent="0.3">
      <c r="B34" s="24">
        <v>14</v>
      </c>
      <c r="C34" s="130"/>
      <c r="D34" s="130"/>
      <c r="E34" s="130"/>
      <c r="F34" s="130"/>
      <c r="G34" s="138"/>
      <c r="H34" s="131"/>
      <c r="I34" s="132"/>
      <c r="J34" s="133"/>
      <c r="K34" s="131"/>
      <c r="L34" s="131"/>
      <c r="M34" s="130"/>
      <c r="N34" s="134"/>
      <c r="O34" s="261"/>
      <c r="P34" s="261"/>
      <c r="Q34" s="261"/>
      <c r="R34" s="131"/>
      <c r="S34" s="131"/>
      <c r="T34" s="131"/>
      <c r="U34" s="140"/>
      <c r="V34" s="140"/>
      <c r="W34" s="130"/>
      <c r="X34" s="138"/>
      <c r="Y34" s="138"/>
      <c r="Z34" s="138"/>
      <c r="AA34" s="138"/>
      <c r="AB34" s="131"/>
      <c r="AC34" s="132"/>
      <c r="AD34" s="135"/>
      <c r="AE34" s="135"/>
      <c r="AF34" s="136"/>
      <c r="AG34" s="136"/>
      <c r="AH34" s="136"/>
      <c r="AI34" s="123">
        <f t="shared" si="0"/>
        <v>0</v>
      </c>
      <c r="AJ34" s="8"/>
    </row>
    <row r="35" spans="2:36" s="9" customFormat="1" ht="20.25" x14ac:dyDescent="0.3">
      <c r="B35" s="24">
        <v>15</v>
      </c>
      <c r="C35" s="130"/>
      <c r="D35" s="130"/>
      <c r="E35" s="130"/>
      <c r="F35" s="130"/>
      <c r="G35" s="138"/>
      <c r="H35" s="131"/>
      <c r="I35" s="132"/>
      <c r="J35" s="133"/>
      <c r="K35" s="131"/>
      <c r="L35" s="131"/>
      <c r="M35" s="130"/>
      <c r="N35" s="134"/>
      <c r="O35" s="261"/>
      <c r="P35" s="261"/>
      <c r="Q35" s="261"/>
      <c r="R35" s="131"/>
      <c r="S35" s="131"/>
      <c r="T35" s="131"/>
      <c r="U35" s="140"/>
      <c r="V35" s="140"/>
      <c r="W35" s="130"/>
      <c r="X35" s="138"/>
      <c r="Y35" s="138"/>
      <c r="Z35" s="138"/>
      <c r="AA35" s="138"/>
      <c r="AB35" s="131"/>
      <c r="AC35" s="132"/>
      <c r="AD35" s="135"/>
      <c r="AE35" s="135"/>
      <c r="AF35" s="136"/>
      <c r="AG35" s="136"/>
      <c r="AH35" s="136"/>
      <c r="AI35" s="123">
        <f t="shared" si="0"/>
        <v>0</v>
      </c>
      <c r="AJ35" s="8"/>
    </row>
    <row r="36" spans="2:36" s="9" customFormat="1" ht="20.25" x14ac:dyDescent="0.3">
      <c r="B36" s="24">
        <v>16</v>
      </c>
      <c r="C36" s="130"/>
      <c r="D36" s="130"/>
      <c r="E36" s="130"/>
      <c r="F36" s="130"/>
      <c r="G36" s="138"/>
      <c r="H36" s="131"/>
      <c r="I36" s="132"/>
      <c r="J36" s="133"/>
      <c r="K36" s="131"/>
      <c r="L36" s="131"/>
      <c r="M36" s="130"/>
      <c r="N36" s="134"/>
      <c r="O36" s="261"/>
      <c r="P36" s="261"/>
      <c r="Q36" s="261"/>
      <c r="R36" s="131"/>
      <c r="S36" s="131"/>
      <c r="T36" s="131"/>
      <c r="U36" s="140"/>
      <c r="V36" s="140"/>
      <c r="W36" s="130"/>
      <c r="X36" s="138"/>
      <c r="Y36" s="138"/>
      <c r="Z36" s="138"/>
      <c r="AA36" s="138"/>
      <c r="AB36" s="131"/>
      <c r="AC36" s="132"/>
      <c r="AD36" s="135"/>
      <c r="AE36" s="135"/>
      <c r="AF36" s="136"/>
      <c r="AG36" s="136"/>
      <c r="AH36" s="136"/>
      <c r="AI36" s="123">
        <f t="shared" si="0"/>
        <v>0</v>
      </c>
      <c r="AJ36" s="8"/>
    </row>
    <row r="37" spans="2:36" s="9" customFormat="1" ht="20.25" x14ac:dyDescent="0.3">
      <c r="B37" s="24">
        <v>17</v>
      </c>
      <c r="C37" s="130"/>
      <c r="D37" s="130"/>
      <c r="E37" s="130"/>
      <c r="F37" s="130"/>
      <c r="G37" s="138"/>
      <c r="H37" s="131"/>
      <c r="I37" s="132"/>
      <c r="J37" s="133"/>
      <c r="K37" s="131"/>
      <c r="L37" s="131"/>
      <c r="M37" s="130"/>
      <c r="N37" s="134"/>
      <c r="O37" s="261"/>
      <c r="P37" s="261"/>
      <c r="Q37" s="261"/>
      <c r="R37" s="131"/>
      <c r="S37" s="131"/>
      <c r="T37" s="131"/>
      <c r="U37" s="140"/>
      <c r="V37" s="140"/>
      <c r="W37" s="130"/>
      <c r="X37" s="138"/>
      <c r="Y37" s="138"/>
      <c r="Z37" s="138"/>
      <c r="AA37" s="138"/>
      <c r="AB37" s="131"/>
      <c r="AC37" s="132"/>
      <c r="AD37" s="135"/>
      <c r="AE37" s="135"/>
      <c r="AF37" s="136"/>
      <c r="AG37" s="136"/>
      <c r="AH37" s="136"/>
      <c r="AI37" s="123">
        <f t="shared" si="0"/>
        <v>0</v>
      </c>
      <c r="AJ37" s="8"/>
    </row>
    <row r="38" spans="2:36" s="9" customFormat="1" ht="20.25" x14ac:dyDescent="0.3">
      <c r="B38" s="24">
        <v>18</v>
      </c>
      <c r="C38" s="130"/>
      <c r="D38" s="130"/>
      <c r="E38" s="130"/>
      <c r="F38" s="130"/>
      <c r="G38" s="138"/>
      <c r="H38" s="131"/>
      <c r="I38" s="132"/>
      <c r="J38" s="133"/>
      <c r="K38" s="131"/>
      <c r="L38" s="131"/>
      <c r="M38" s="130"/>
      <c r="N38" s="134"/>
      <c r="O38" s="261"/>
      <c r="P38" s="261"/>
      <c r="Q38" s="261"/>
      <c r="R38" s="131"/>
      <c r="S38" s="131"/>
      <c r="T38" s="131"/>
      <c r="U38" s="140"/>
      <c r="V38" s="140"/>
      <c r="W38" s="130"/>
      <c r="X38" s="138"/>
      <c r="Y38" s="138"/>
      <c r="Z38" s="138"/>
      <c r="AA38" s="138"/>
      <c r="AB38" s="131"/>
      <c r="AC38" s="132"/>
      <c r="AD38" s="135"/>
      <c r="AE38" s="135"/>
      <c r="AF38" s="136"/>
      <c r="AG38" s="136"/>
      <c r="AH38" s="136"/>
      <c r="AI38" s="123">
        <f t="shared" si="0"/>
        <v>0</v>
      </c>
      <c r="AJ38" s="8"/>
    </row>
    <row r="39" spans="2:36" s="9" customFormat="1" ht="20.25" x14ac:dyDescent="0.3">
      <c r="B39" s="24">
        <v>19</v>
      </c>
      <c r="C39" s="130"/>
      <c r="D39" s="130"/>
      <c r="E39" s="130"/>
      <c r="F39" s="130"/>
      <c r="G39" s="138"/>
      <c r="H39" s="131"/>
      <c r="I39" s="132"/>
      <c r="J39" s="133"/>
      <c r="K39" s="131"/>
      <c r="L39" s="131"/>
      <c r="M39" s="130"/>
      <c r="N39" s="134"/>
      <c r="O39" s="261"/>
      <c r="P39" s="261"/>
      <c r="Q39" s="261"/>
      <c r="R39" s="131"/>
      <c r="S39" s="131"/>
      <c r="T39" s="131"/>
      <c r="U39" s="140"/>
      <c r="V39" s="140"/>
      <c r="W39" s="130"/>
      <c r="X39" s="138"/>
      <c r="Y39" s="138"/>
      <c r="Z39" s="138"/>
      <c r="AA39" s="138"/>
      <c r="AB39" s="131"/>
      <c r="AC39" s="132"/>
      <c r="AD39" s="135"/>
      <c r="AE39" s="135"/>
      <c r="AF39" s="136"/>
      <c r="AG39" s="136"/>
      <c r="AH39" s="136"/>
      <c r="AI39" s="123">
        <f t="shared" si="0"/>
        <v>0</v>
      </c>
      <c r="AJ39" s="8"/>
    </row>
    <row r="40" spans="2:36" s="9" customFormat="1" ht="20.25" x14ac:dyDescent="0.3">
      <c r="B40" s="24">
        <v>20</v>
      </c>
      <c r="C40" s="130"/>
      <c r="D40" s="130"/>
      <c r="E40" s="130"/>
      <c r="F40" s="130"/>
      <c r="G40" s="138"/>
      <c r="H40" s="131"/>
      <c r="I40" s="132"/>
      <c r="J40" s="133"/>
      <c r="K40" s="131"/>
      <c r="L40" s="131"/>
      <c r="M40" s="130"/>
      <c r="N40" s="134"/>
      <c r="O40" s="261"/>
      <c r="P40" s="261"/>
      <c r="Q40" s="261"/>
      <c r="R40" s="131"/>
      <c r="S40" s="131"/>
      <c r="T40" s="131"/>
      <c r="U40" s="140"/>
      <c r="V40" s="140"/>
      <c r="W40" s="130"/>
      <c r="X40" s="138"/>
      <c r="Y40" s="138"/>
      <c r="Z40" s="138"/>
      <c r="AA40" s="138"/>
      <c r="AB40" s="131"/>
      <c r="AC40" s="132"/>
      <c r="AD40" s="135"/>
      <c r="AE40" s="135"/>
      <c r="AF40" s="136"/>
      <c r="AG40" s="136"/>
      <c r="AH40" s="136"/>
      <c r="AI40" s="123">
        <f t="shared" si="0"/>
        <v>0</v>
      </c>
      <c r="AJ40" s="8"/>
    </row>
    <row r="41" spans="2:36" s="9" customFormat="1" ht="20.25" x14ac:dyDescent="0.3">
      <c r="B41" s="24">
        <v>21</v>
      </c>
      <c r="C41" s="130"/>
      <c r="D41" s="130"/>
      <c r="E41" s="130"/>
      <c r="F41" s="130"/>
      <c r="G41" s="138"/>
      <c r="H41" s="131"/>
      <c r="I41" s="132"/>
      <c r="J41" s="133"/>
      <c r="K41" s="131"/>
      <c r="L41" s="131"/>
      <c r="M41" s="130"/>
      <c r="N41" s="134"/>
      <c r="O41" s="261"/>
      <c r="P41" s="261"/>
      <c r="Q41" s="261"/>
      <c r="R41" s="131"/>
      <c r="S41" s="131"/>
      <c r="T41" s="131"/>
      <c r="U41" s="140"/>
      <c r="V41" s="140"/>
      <c r="W41" s="130"/>
      <c r="X41" s="138"/>
      <c r="Y41" s="138"/>
      <c r="Z41" s="138"/>
      <c r="AA41" s="138"/>
      <c r="AB41" s="131"/>
      <c r="AC41" s="132"/>
      <c r="AD41" s="135"/>
      <c r="AE41" s="135"/>
      <c r="AF41" s="136"/>
      <c r="AG41" s="136"/>
      <c r="AH41" s="136"/>
      <c r="AI41" s="123">
        <f t="shared" si="0"/>
        <v>0</v>
      </c>
      <c r="AJ41" s="8"/>
    </row>
    <row r="42" spans="2:36" s="9" customFormat="1" ht="20.25" x14ac:dyDescent="0.3">
      <c r="B42" s="24">
        <v>22</v>
      </c>
      <c r="C42" s="130"/>
      <c r="D42" s="130"/>
      <c r="E42" s="130"/>
      <c r="F42" s="130"/>
      <c r="G42" s="138"/>
      <c r="H42" s="131"/>
      <c r="I42" s="132"/>
      <c r="J42" s="133"/>
      <c r="K42" s="131"/>
      <c r="L42" s="131"/>
      <c r="M42" s="130"/>
      <c r="N42" s="134"/>
      <c r="O42" s="261"/>
      <c r="P42" s="261"/>
      <c r="Q42" s="261"/>
      <c r="R42" s="131"/>
      <c r="S42" s="131"/>
      <c r="T42" s="131"/>
      <c r="U42" s="140"/>
      <c r="V42" s="140"/>
      <c r="W42" s="130"/>
      <c r="X42" s="138"/>
      <c r="Y42" s="138"/>
      <c r="Z42" s="138"/>
      <c r="AA42" s="138"/>
      <c r="AB42" s="131"/>
      <c r="AC42" s="132"/>
      <c r="AD42" s="135"/>
      <c r="AE42" s="135"/>
      <c r="AF42" s="136"/>
      <c r="AG42" s="136"/>
      <c r="AH42" s="136"/>
      <c r="AI42" s="123">
        <f t="shared" si="0"/>
        <v>0</v>
      </c>
      <c r="AJ42" s="8"/>
    </row>
    <row r="43" spans="2:36" s="9" customFormat="1" ht="20.25" x14ac:dyDescent="0.3">
      <c r="B43" s="24">
        <v>23</v>
      </c>
      <c r="C43" s="130"/>
      <c r="D43" s="130"/>
      <c r="E43" s="130"/>
      <c r="F43" s="130"/>
      <c r="G43" s="138"/>
      <c r="H43" s="131"/>
      <c r="I43" s="132"/>
      <c r="J43" s="133"/>
      <c r="K43" s="131"/>
      <c r="L43" s="131"/>
      <c r="M43" s="130"/>
      <c r="N43" s="134"/>
      <c r="O43" s="261"/>
      <c r="P43" s="261"/>
      <c r="Q43" s="261"/>
      <c r="R43" s="131"/>
      <c r="S43" s="131"/>
      <c r="T43" s="131"/>
      <c r="U43" s="140"/>
      <c r="V43" s="140"/>
      <c r="W43" s="130"/>
      <c r="X43" s="138"/>
      <c r="Y43" s="138"/>
      <c r="Z43" s="138"/>
      <c r="AA43" s="138"/>
      <c r="AB43" s="131"/>
      <c r="AC43" s="132"/>
      <c r="AD43" s="135"/>
      <c r="AE43" s="135"/>
      <c r="AF43" s="136"/>
      <c r="AG43" s="136"/>
      <c r="AH43" s="136"/>
      <c r="AI43" s="123">
        <f t="shared" si="0"/>
        <v>0</v>
      </c>
      <c r="AJ43" s="8"/>
    </row>
    <row r="44" spans="2:36" s="9" customFormat="1" ht="20.25" x14ac:dyDescent="0.3">
      <c r="B44" s="24">
        <v>24</v>
      </c>
      <c r="C44" s="130"/>
      <c r="D44" s="130"/>
      <c r="E44" s="130"/>
      <c r="F44" s="130"/>
      <c r="G44" s="138"/>
      <c r="H44" s="131"/>
      <c r="I44" s="132"/>
      <c r="J44" s="133"/>
      <c r="K44" s="131"/>
      <c r="L44" s="131"/>
      <c r="M44" s="130"/>
      <c r="N44" s="134"/>
      <c r="O44" s="261"/>
      <c r="P44" s="261"/>
      <c r="Q44" s="261"/>
      <c r="R44" s="131"/>
      <c r="S44" s="131"/>
      <c r="T44" s="131"/>
      <c r="U44" s="140"/>
      <c r="V44" s="140"/>
      <c r="W44" s="130"/>
      <c r="X44" s="138"/>
      <c r="Y44" s="138"/>
      <c r="Z44" s="138"/>
      <c r="AA44" s="138"/>
      <c r="AB44" s="131"/>
      <c r="AC44" s="132"/>
      <c r="AD44" s="135"/>
      <c r="AE44" s="135"/>
      <c r="AF44" s="136"/>
      <c r="AG44" s="136"/>
      <c r="AH44" s="136"/>
      <c r="AI44" s="123">
        <f t="shared" ref="AI44:AI65" si="1">C44*D44/1000000*E44</f>
        <v>0</v>
      </c>
      <c r="AJ44" s="8"/>
    </row>
    <row r="45" spans="2:36" s="9" customFormat="1" ht="20.25" x14ac:dyDescent="0.3">
      <c r="B45" s="24">
        <v>25</v>
      </c>
      <c r="C45" s="130"/>
      <c r="D45" s="130"/>
      <c r="E45" s="130"/>
      <c r="F45" s="130"/>
      <c r="G45" s="138"/>
      <c r="H45" s="131"/>
      <c r="I45" s="132"/>
      <c r="J45" s="133"/>
      <c r="K45" s="131"/>
      <c r="L45" s="131"/>
      <c r="M45" s="130"/>
      <c r="N45" s="134"/>
      <c r="O45" s="261"/>
      <c r="P45" s="261"/>
      <c r="Q45" s="261"/>
      <c r="R45" s="131"/>
      <c r="S45" s="131"/>
      <c r="T45" s="131"/>
      <c r="U45" s="140"/>
      <c r="V45" s="140"/>
      <c r="W45" s="130"/>
      <c r="X45" s="138"/>
      <c r="Y45" s="138"/>
      <c r="Z45" s="138"/>
      <c r="AA45" s="138"/>
      <c r="AB45" s="131"/>
      <c r="AC45" s="132"/>
      <c r="AD45" s="135"/>
      <c r="AE45" s="135"/>
      <c r="AF45" s="136"/>
      <c r="AG45" s="136"/>
      <c r="AH45" s="136"/>
      <c r="AI45" s="123">
        <f t="shared" si="1"/>
        <v>0</v>
      </c>
      <c r="AJ45" s="8"/>
    </row>
    <row r="46" spans="2:36" s="9" customFormat="1" ht="20.25" x14ac:dyDescent="0.3">
      <c r="B46" s="24">
        <v>26</v>
      </c>
      <c r="C46" s="130"/>
      <c r="D46" s="130"/>
      <c r="E46" s="130"/>
      <c r="F46" s="130"/>
      <c r="G46" s="138"/>
      <c r="H46" s="131"/>
      <c r="I46" s="132"/>
      <c r="J46" s="133"/>
      <c r="K46" s="131"/>
      <c r="L46" s="131"/>
      <c r="M46" s="130"/>
      <c r="N46" s="134"/>
      <c r="O46" s="261"/>
      <c r="P46" s="261"/>
      <c r="Q46" s="261"/>
      <c r="R46" s="131"/>
      <c r="S46" s="131"/>
      <c r="T46" s="131"/>
      <c r="U46" s="140"/>
      <c r="V46" s="140"/>
      <c r="W46" s="130"/>
      <c r="X46" s="138"/>
      <c r="Y46" s="138"/>
      <c r="Z46" s="138"/>
      <c r="AA46" s="138"/>
      <c r="AB46" s="131"/>
      <c r="AC46" s="132"/>
      <c r="AD46" s="135"/>
      <c r="AE46" s="135"/>
      <c r="AF46" s="136"/>
      <c r="AG46" s="136"/>
      <c r="AH46" s="136"/>
      <c r="AI46" s="123">
        <f t="shared" si="1"/>
        <v>0</v>
      </c>
      <c r="AJ46" s="8"/>
    </row>
    <row r="47" spans="2:36" s="9" customFormat="1" ht="20.25" x14ac:dyDescent="0.3">
      <c r="B47" s="24">
        <v>27</v>
      </c>
      <c r="C47" s="130"/>
      <c r="D47" s="130"/>
      <c r="E47" s="130"/>
      <c r="F47" s="130"/>
      <c r="G47" s="138"/>
      <c r="H47" s="131"/>
      <c r="I47" s="132"/>
      <c r="J47" s="133"/>
      <c r="K47" s="131"/>
      <c r="L47" s="131"/>
      <c r="M47" s="130"/>
      <c r="N47" s="134"/>
      <c r="O47" s="261"/>
      <c r="P47" s="261"/>
      <c r="Q47" s="261"/>
      <c r="R47" s="131"/>
      <c r="S47" s="131"/>
      <c r="T47" s="131"/>
      <c r="U47" s="140"/>
      <c r="V47" s="140"/>
      <c r="W47" s="130"/>
      <c r="X47" s="138"/>
      <c r="Y47" s="138"/>
      <c r="Z47" s="138"/>
      <c r="AA47" s="138"/>
      <c r="AB47" s="131"/>
      <c r="AC47" s="132"/>
      <c r="AD47" s="135"/>
      <c r="AE47" s="135"/>
      <c r="AF47" s="136"/>
      <c r="AG47" s="136"/>
      <c r="AH47" s="136"/>
      <c r="AI47" s="123">
        <f t="shared" si="1"/>
        <v>0</v>
      </c>
      <c r="AJ47" s="8"/>
    </row>
    <row r="48" spans="2:36" s="9" customFormat="1" ht="20.25" x14ac:dyDescent="0.3">
      <c r="B48" s="24">
        <v>28</v>
      </c>
      <c r="C48" s="130"/>
      <c r="D48" s="130"/>
      <c r="E48" s="130"/>
      <c r="F48" s="130"/>
      <c r="G48" s="138"/>
      <c r="H48" s="131"/>
      <c r="I48" s="132"/>
      <c r="J48" s="133"/>
      <c r="K48" s="131"/>
      <c r="L48" s="131"/>
      <c r="M48" s="130"/>
      <c r="N48" s="134"/>
      <c r="O48" s="261"/>
      <c r="P48" s="261"/>
      <c r="Q48" s="261"/>
      <c r="R48" s="131"/>
      <c r="S48" s="131"/>
      <c r="T48" s="131"/>
      <c r="U48" s="140"/>
      <c r="V48" s="140"/>
      <c r="W48" s="130"/>
      <c r="X48" s="138"/>
      <c r="Y48" s="138"/>
      <c r="Z48" s="138"/>
      <c r="AA48" s="138"/>
      <c r="AB48" s="131"/>
      <c r="AC48" s="132"/>
      <c r="AD48" s="135"/>
      <c r="AE48" s="135"/>
      <c r="AF48" s="136"/>
      <c r="AG48" s="136"/>
      <c r="AH48" s="136"/>
      <c r="AI48" s="123">
        <f t="shared" si="1"/>
        <v>0</v>
      </c>
      <c r="AJ48" s="8"/>
    </row>
    <row r="49" spans="2:36" s="9" customFormat="1" ht="20.25" x14ac:dyDescent="0.3">
      <c r="B49" s="24">
        <v>29</v>
      </c>
      <c r="C49" s="130"/>
      <c r="D49" s="130"/>
      <c r="E49" s="130"/>
      <c r="F49" s="130"/>
      <c r="G49" s="138"/>
      <c r="H49" s="131"/>
      <c r="I49" s="132"/>
      <c r="J49" s="133"/>
      <c r="K49" s="131"/>
      <c r="L49" s="131"/>
      <c r="M49" s="130"/>
      <c r="N49" s="134"/>
      <c r="O49" s="261"/>
      <c r="P49" s="261"/>
      <c r="Q49" s="261"/>
      <c r="R49" s="131"/>
      <c r="S49" s="131"/>
      <c r="T49" s="131"/>
      <c r="U49" s="140"/>
      <c r="V49" s="140"/>
      <c r="W49" s="130"/>
      <c r="X49" s="138"/>
      <c r="Y49" s="138"/>
      <c r="Z49" s="138"/>
      <c r="AA49" s="138"/>
      <c r="AB49" s="131"/>
      <c r="AC49" s="132"/>
      <c r="AD49" s="135"/>
      <c r="AE49" s="135"/>
      <c r="AF49" s="136"/>
      <c r="AG49" s="136"/>
      <c r="AH49" s="136"/>
      <c r="AI49" s="123">
        <f t="shared" si="1"/>
        <v>0</v>
      </c>
      <c r="AJ49" s="8"/>
    </row>
    <row r="50" spans="2:36" s="9" customFormat="1" ht="20.25" x14ac:dyDescent="0.3">
      <c r="B50" s="24">
        <v>30</v>
      </c>
      <c r="C50" s="130"/>
      <c r="D50" s="130"/>
      <c r="E50" s="130"/>
      <c r="F50" s="130"/>
      <c r="G50" s="138"/>
      <c r="H50" s="131"/>
      <c r="I50" s="132"/>
      <c r="J50" s="133"/>
      <c r="K50" s="131"/>
      <c r="L50" s="131"/>
      <c r="M50" s="130"/>
      <c r="N50" s="134"/>
      <c r="O50" s="261"/>
      <c r="P50" s="261"/>
      <c r="Q50" s="261"/>
      <c r="R50" s="131"/>
      <c r="S50" s="131"/>
      <c r="T50" s="131"/>
      <c r="U50" s="140"/>
      <c r="V50" s="140"/>
      <c r="W50" s="130"/>
      <c r="X50" s="138"/>
      <c r="Y50" s="138"/>
      <c r="Z50" s="138"/>
      <c r="AA50" s="138"/>
      <c r="AB50" s="131"/>
      <c r="AC50" s="132"/>
      <c r="AD50" s="135"/>
      <c r="AE50" s="135"/>
      <c r="AF50" s="136"/>
      <c r="AG50" s="136"/>
      <c r="AH50" s="136"/>
      <c r="AI50" s="123">
        <f t="shared" si="1"/>
        <v>0</v>
      </c>
      <c r="AJ50" s="8"/>
    </row>
    <row r="51" spans="2:36" s="9" customFormat="1" ht="20.25" x14ac:dyDescent="0.3">
      <c r="B51" s="24">
        <v>31</v>
      </c>
      <c r="C51" s="130"/>
      <c r="D51" s="130"/>
      <c r="E51" s="130"/>
      <c r="F51" s="130"/>
      <c r="G51" s="138"/>
      <c r="H51" s="131"/>
      <c r="I51" s="132"/>
      <c r="J51" s="133"/>
      <c r="K51" s="131"/>
      <c r="L51" s="131"/>
      <c r="M51" s="130"/>
      <c r="N51" s="134"/>
      <c r="O51" s="261"/>
      <c r="P51" s="261"/>
      <c r="Q51" s="261"/>
      <c r="R51" s="131"/>
      <c r="S51" s="131"/>
      <c r="T51" s="131"/>
      <c r="U51" s="140"/>
      <c r="V51" s="140"/>
      <c r="W51" s="130"/>
      <c r="X51" s="138"/>
      <c r="Y51" s="138"/>
      <c r="Z51" s="138"/>
      <c r="AA51" s="138"/>
      <c r="AB51" s="131"/>
      <c r="AC51" s="132"/>
      <c r="AD51" s="135"/>
      <c r="AE51" s="135"/>
      <c r="AF51" s="136"/>
      <c r="AG51" s="136"/>
      <c r="AH51" s="136"/>
      <c r="AI51" s="123">
        <f t="shared" si="1"/>
        <v>0</v>
      </c>
      <c r="AJ51" s="8"/>
    </row>
    <row r="52" spans="2:36" s="9" customFormat="1" ht="20.25" x14ac:dyDescent="0.3">
      <c r="B52" s="24">
        <v>32</v>
      </c>
      <c r="C52" s="130"/>
      <c r="D52" s="130"/>
      <c r="E52" s="130"/>
      <c r="F52" s="130"/>
      <c r="G52" s="138"/>
      <c r="H52" s="131"/>
      <c r="I52" s="132"/>
      <c r="J52" s="133"/>
      <c r="K52" s="131"/>
      <c r="L52" s="131"/>
      <c r="M52" s="130"/>
      <c r="N52" s="134"/>
      <c r="O52" s="261"/>
      <c r="P52" s="261"/>
      <c r="Q52" s="261"/>
      <c r="R52" s="131"/>
      <c r="S52" s="131"/>
      <c r="T52" s="131"/>
      <c r="U52" s="140"/>
      <c r="V52" s="140"/>
      <c r="W52" s="130"/>
      <c r="X52" s="138"/>
      <c r="Y52" s="138"/>
      <c r="Z52" s="138"/>
      <c r="AA52" s="138"/>
      <c r="AB52" s="131"/>
      <c r="AC52" s="132"/>
      <c r="AD52" s="135"/>
      <c r="AE52" s="135"/>
      <c r="AF52" s="136"/>
      <c r="AG52" s="136"/>
      <c r="AH52" s="136"/>
      <c r="AI52" s="123">
        <f t="shared" si="1"/>
        <v>0</v>
      </c>
      <c r="AJ52" s="8"/>
    </row>
    <row r="53" spans="2:36" s="9" customFormat="1" ht="20.25" x14ac:dyDescent="0.3">
      <c r="B53" s="24">
        <v>33</v>
      </c>
      <c r="C53" s="130"/>
      <c r="D53" s="130"/>
      <c r="E53" s="130"/>
      <c r="F53" s="130"/>
      <c r="G53" s="138"/>
      <c r="H53" s="131"/>
      <c r="I53" s="132"/>
      <c r="J53" s="133"/>
      <c r="K53" s="131"/>
      <c r="L53" s="131"/>
      <c r="M53" s="130"/>
      <c r="N53" s="134"/>
      <c r="O53" s="261"/>
      <c r="P53" s="261"/>
      <c r="Q53" s="261"/>
      <c r="R53" s="131"/>
      <c r="S53" s="131"/>
      <c r="T53" s="131"/>
      <c r="U53" s="140"/>
      <c r="V53" s="140"/>
      <c r="W53" s="130"/>
      <c r="X53" s="138"/>
      <c r="Y53" s="138"/>
      <c r="Z53" s="138"/>
      <c r="AA53" s="138"/>
      <c r="AB53" s="131"/>
      <c r="AC53" s="132"/>
      <c r="AD53" s="135"/>
      <c r="AE53" s="135"/>
      <c r="AF53" s="136"/>
      <c r="AG53" s="136"/>
      <c r="AH53" s="136"/>
      <c r="AI53" s="123">
        <f t="shared" si="1"/>
        <v>0</v>
      </c>
      <c r="AJ53" s="8"/>
    </row>
    <row r="54" spans="2:36" s="9" customFormat="1" ht="20.25" x14ac:dyDescent="0.3">
      <c r="B54" s="24">
        <v>34</v>
      </c>
      <c r="C54" s="130"/>
      <c r="D54" s="130"/>
      <c r="E54" s="130"/>
      <c r="F54" s="130"/>
      <c r="G54" s="138"/>
      <c r="H54" s="131"/>
      <c r="I54" s="132"/>
      <c r="J54" s="133"/>
      <c r="K54" s="131"/>
      <c r="L54" s="131"/>
      <c r="M54" s="130"/>
      <c r="N54" s="134"/>
      <c r="O54" s="261"/>
      <c r="P54" s="261"/>
      <c r="Q54" s="261"/>
      <c r="R54" s="131"/>
      <c r="S54" s="131"/>
      <c r="T54" s="131"/>
      <c r="U54" s="140"/>
      <c r="V54" s="140"/>
      <c r="W54" s="130"/>
      <c r="X54" s="138"/>
      <c r="Y54" s="138"/>
      <c r="Z54" s="138"/>
      <c r="AA54" s="138"/>
      <c r="AB54" s="131"/>
      <c r="AC54" s="132"/>
      <c r="AD54" s="135"/>
      <c r="AE54" s="135"/>
      <c r="AF54" s="136"/>
      <c r="AG54" s="136"/>
      <c r="AH54" s="136"/>
      <c r="AI54" s="123">
        <f t="shared" ref="AI54:AI63" si="2">C54*D54/1000000*E54</f>
        <v>0</v>
      </c>
      <c r="AJ54" s="8"/>
    </row>
    <row r="55" spans="2:36" s="9" customFormat="1" ht="20.25" x14ac:dyDescent="0.3">
      <c r="B55" s="24">
        <v>35</v>
      </c>
      <c r="C55" s="130"/>
      <c r="D55" s="130"/>
      <c r="E55" s="130"/>
      <c r="F55" s="130"/>
      <c r="G55" s="138"/>
      <c r="H55" s="131"/>
      <c r="I55" s="132"/>
      <c r="J55" s="133"/>
      <c r="K55" s="131"/>
      <c r="L55" s="131"/>
      <c r="M55" s="130"/>
      <c r="N55" s="134"/>
      <c r="O55" s="261"/>
      <c r="P55" s="261"/>
      <c r="Q55" s="261"/>
      <c r="R55" s="131"/>
      <c r="S55" s="131"/>
      <c r="T55" s="131"/>
      <c r="U55" s="140"/>
      <c r="V55" s="140"/>
      <c r="W55" s="130"/>
      <c r="X55" s="138"/>
      <c r="Y55" s="138"/>
      <c r="Z55" s="138"/>
      <c r="AA55" s="138"/>
      <c r="AB55" s="131"/>
      <c r="AC55" s="132"/>
      <c r="AD55" s="135"/>
      <c r="AE55" s="135"/>
      <c r="AF55" s="136"/>
      <c r="AG55" s="136"/>
      <c r="AH55" s="136"/>
      <c r="AI55" s="123">
        <f t="shared" si="2"/>
        <v>0</v>
      </c>
      <c r="AJ55" s="8"/>
    </row>
    <row r="56" spans="2:36" s="9" customFormat="1" ht="20.25" x14ac:dyDescent="0.3">
      <c r="B56" s="24">
        <v>36</v>
      </c>
      <c r="C56" s="130"/>
      <c r="D56" s="130"/>
      <c r="E56" s="130"/>
      <c r="F56" s="130"/>
      <c r="G56" s="138"/>
      <c r="H56" s="131"/>
      <c r="I56" s="132"/>
      <c r="J56" s="133"/>
      <c r="K56" s="131"/>
      <c r="L56" s="131"/>
      <c r="M56" s="130"/>
      <c r="N56" s="134"/>
      <c r="O56" s="261"/>
      <c r="P56" s="261"/>
      <c r="Q56" s="261"/>
      <c r="R56" s="131"/>
      <c r="S56" s="131"/>
      <c r="T56" s="131"/>
      <c r="U56" s="140"/>
      <c r="V56" s="140"/>
      <c r="W56" s="130"/>
      <c r="X56" s="138"/>
      <c r="Y56" s="138"/>
      <c r="Z56" s="138"/>
      <c r="AA56" s="138"/>
      <c r="AB56" s="131"/>
      <c r="AC56" s="132"/>
      <c r="AD56" s="135"/>
      <c r="AE56" s="135"/>
      <c r="AF56" s="136"/>
      <c r="AG56" s="136"/>
      <c r="AH56" s="136"/>
      <c r="AI56" s="123">
        <f t="shared" si="2"/>
        <v>0</v>
      </c>
      <c r="AJ56" s="8"/>
    </row>
    <row r="57" spans="2:36" s="9" customFormat="1" ht="20.25" x14ac:dyDescent="0.3">
      <c r="B57" s="24">
        <v>37</v>
      </c>
      <c r="C57" s="130"/>
      <c r="D57" s="130"/>
      <c r="E57" s="130"/>
      <c r="F57" s="130"/>
      <c r="G57" s="138"/>
      <c r="H57" s="131"/>
      <c r="I57" s="132"/>
      <c r="J57" s="133"/>
      <c r="K57" s="131"/>
      <c r="L57" s="131"/>
      <c r="M57" s="130"/>
      <c r="N57" s="134"/>
      <c r="O57" s="261"/>
      <c r="P57" s="261"/>
      <c r="Q57" s="261"/>
      <c r="R57" s="131"/>
      <c r="S57" s="131"/>
      <c r="T57" s="131"/>
      <c r="U57" s="140"/>
      <c r="V57" s="140"/>
      <c r="W57" s="130"/>
      <c r="X57" s="138"/>
      <c r="Y57" s="138"/>
      <c r="Z57" s="138"/>
      <c r="AA57" s="138"/>
      <c r="AB57" s="131"/>
      <c r="AC57" s="132"/>
      <c r="AD57" s="135"/>
      <c r="AE57" s="135"/>
      <c r="AF57" s="136"/>
      <c r="AG57" s="136"/>
      <c r="AH57" s="136"/>
      <c r="AI57" s="123">
        <f t="shared" si="2"/>
        <v>0</v>
      </c>
      <c r="AJ57" s="8"/>
    </row>
    <row r="58" spans="2:36" s="9" customFormat="1" ht="20.25" x14ac:dyDescent="0.3">
      <c r="B58" s="24">
        <v>38</v>
      </c>
      <c r="C58" s="130"/>
      <c r="D58" s="130"/>
      <c r="E58" s="130"/>
      <c r="F58" s="130"/>
      <c r="G58" s="138"/>
      <c r="H58" s="131"/>
      <c r="I58" s="132"/>
      <c r="J58" s="133"/>
      <c r="K58" s="131"/>
      <c r="L58" s="131"/>
      <c r="M58" s="130"/>
      <c r="N58" s="134"/>
      <c r="O58" s="261"/>
      <c r="P58" s="261"/>
      <c r="Q58" s="261"/>
      <c r="R58" s="131"/>
      <c r="S58" s="131"/>
      <c r="T58" s="131"/>
      <c r="U58" s="140"/>
      <c r="V58" s="140"/>
      <c r="W58" s="130"/>
      <c r="X58" s="138"/>
      <c r="Y58" s="138"/>
      <c r="Z58" s="138"/>
      <c r="AA58" s="138"/>
      <c r="AB58" s="131"/>
      <c r="AC58" s="132"/>
      <c r="AD58" s="135"/>
      <c r="AE58" s="135"/>
      <c r="AF58" s="136"/>
      <c r="AG58" s="136"/>
      <c r="AH58" s="136"/>
      <c r="AI58" s="123">
        <f t="shared" si="2"/>
        <v>0</v>
      </c>
      <c r="AJ58" s="8"/>
    </row>
    <row r="59" spans="2:36" s="9" customFormat="1" ht="20.25" x14ac:dyDescent="0.3">
      <c r="B59" s="24">
        <v>39</v>
      </c>
      <c r="C59" s="130"/>
      <c r="D59" s="130"/>
      <c r="E59" s="130"/>
      <c r="F59" s="130"/>
      <c r="G59" s="138"/>
      <c r="H59" s="131"/>
      <c r="I59" s="132"/>
      <c r="J59" s="133"/>
      <c r="K59" s="131"/>
      <c r="L59" s="131"/>
      <c r="M59" s="130"/>
      <c r="N59" s="134"/>
      <c r="O59" s="261"/>
      <c r="P59" s="261"/>
      <c r="Q59" s="261"/>
      <c r="R59" s="131"/>
      <c r="S59" s="131"/>
      <c r="T59" s="131"/>
      <c r="U59" s="140"/>
      <c r="V59" s="140"/>
      <c r="W59" s="130"/>
      <c r="X59" s="138"/>
      <c r="Y59" s="138"/>
      <c r="Z59" s="138"/>
      <c r="AA59" s="138"/>
      <c r="AB59" s="131"/>
      <c r="AC59" s="132"/>
      <c r="AD59" s="135"/>
      <c r="AE59" s="135"/>
      <c r="AF59" s="136"/>
      <c r="AG59" s="136"/>
      <c r="AH59" s="136"/>
      <c r="AI59" s="123">
        <f t="shared" si="2"/>
        <v>0</v>
      </c>
      <c r="AJ59" s="8"/>
    </row>
    <row r="60" spans="2:36" s="9" customFormat="1" ht="20.25" x14ac:dyDescent="0.3">
      <c r="B60" s="24">
        <v>40</v>
      </c>
      <c r="C60" s="130"/>
      <c r="D60" s="130"/>
      <c r="E60" s="130"/>
      <c r="F60" s="130"/>
      <c r="G60" s="138"/>
      <c r="H60" s="131"/>
      <c r="I60" s="132"/>
      <c r="J60" s="133"/>
      <c r="K60" s="131"/>
      <c r="L60" s="131"/>
      <c r="M60" s="130"/>
      <c r="N60" s="134"/>
      <c r="O60" s="261"/>
      <c r="P60" s="261"/>
      <c r="Q60" s="261"/>
      <c r="R60" s="131"/>
      <c r="S60" s="131"/>
      <c r="T60" s="131"/>
      <c r="U60" s="140"/>
      <c r="V60" s="140"/>
      <c r="W60" s="130"/>
      <c r="X60" s="138"/>
      <c r="Y60" s="138"/>
      <c r="Z60" s="138"/>
      <c r="AA60" s="138"/>
      <c r="AB60" s="131"/>
      <c r="AC60" s="132"/>
      <c r="AD60" s="135"/>
      <c r="AE60" s="135"/>
      <c r="AF60" s="136"/>
      <c r="AG60" s="136"/>
      <c r="AH60" s="136"/>
      <c r="AI60" s="123">
        <f t="shared" si="2"/>
        <v>0</v>
      </c>
      <c r="AJ60" s="8"/>
    </row>
    <row r="61" spans="2:36" s="9" customFormat="1" ht="20.25" x14ac:dyDescent="0.3">
      <c r="B61" s="24">
        <v>41</v>
      </c>
      <c r="C61" s="130"/>
      <c r="D61" s="130"/>
      <c r="E61" s="130"/>
      <c r="F61" s="130"/>
      <c r="G61" s="138"/>
      <c r="H61" s="131"/>
      <c r="I61" s="132"/>
      <c r="J61" s="133"/>
      <c r="K61" s="131"/>
      <c r="L61" s="131"/>
      <c r="M61" s="130"/>
      <c r="N61" s="134"/>
      <c r="O61" s="261"/>
      <c r="P61" s="261"/>
      <c r="Q61" s="261"/>
      <c r="R61" s="131"/>
      <c r="S61" s="131"/>
      <c r="T61" s="131"/>
      <c r="U61" s="140"/>
      <c r="V61" s="140"/>
      <c r="W61" s="130"/>
      <c r="X61" s="138"/>
      <c r="Y61" s="138"/>
      <c r="Z61" s="138"/>
      <c r="AA61" s="138"/>
      <c r="AB61" s="131"/>
      <c r="AC61" s="132"/>
      <c r="AD61" s="135"/>
      <c r="AE61" s="135"/>
      <c r="AF61" s="136"/>
      <c r="AG61" s="136"/>
      <c r="AH61" s="136"/>
      <c r="AI61" s="123">
        <f t="shared" si="2"/>
        <v>0</v>
      </c>
      <c r="AJ61" s="8"/>
    </row>
    <row r="62" spans="2:36" s="9" customFormat="1" ht="20.25" x14ac:dyDescent="0.3">
      <c r="B62" s="24">
        <v>42</v>
      </c>
      <c r="C62" s="130"/>
      <c r="D62" s="130"/>
      <c r="E62" s="130"/>
      <c r="F62" s="130"/>
      <c r="G62" s="138"/>
      <c r="H62" s="131"/>
      <c r="I62" s="132"/>
      <c r="J62" s="133"/>
      <c r="K62" s="131"/>
      <c r="L62" s="131"/>
      <c r="M62" s="130"/>
      <c r="N62" s="134"/>
      <c r="O62" s="261"/>
      <c r="P62" s="261"/>
      <c r="Q62" s="261"/>
      <c r="R62" s="131"/>
      <c r="S62" s="131"/>
      <c r="T62" s="131"/>
      <c r="U62" s="140"/>
      <c r="V62" s="140"/>
      <c r="W62" s="130"/>
      <c r="X62" s="138"/>
      <c r="Y62" s="138"/>
      <c r="Z62" s="138"/>
      <c r="AA62" s="138"/>
      <c r="AB62" s="131"/>
      <c r="AC62" s="132"/>
      <c r="AD62" s="135"/>
      <c r="AE62" s="135"/>
      <c r="AF62" s="136"/>
      <c r="AG62" s="136"/>
      <c r="AH62" s="136"/>
      <c r="AI62" s="123">
        <f t="shared" si="2"/>
        <v>0</v>
      </c>
      <c r="AJ62" s="8"/>
    </row>
    <row r="63" spans="2:36" s="9" customFormat="1" ht="20.25" x14ac:dyDescent="0.3">
      <c r="B63" s="24">
        <v>43</v>
      </c>
      <c r="C63" s="130"/>
      <c r="D63" s="130"/>
      <c r="E63" s="130"/>
      <c r="F63" s="130"/>
      <c r="G63" s="138"/>
      <c r="H63" s="131"/>
      <c r="I63" s="132"/>
      <c r="J63" s="133"/>
      <c r="K63" s="131"/>
      <c r="L63" s="131"/>
      <c r="M63" s="130"/>
      <c r="N63" s="134"/>
      <c r="O63" s="261"/>
      <c r="P63" s="261"/>
      <c r="Q63" s="261"/>
      <c r="R63" s="131"/>
      <c r="S63" s="131"/>
      <c r="T63" s="131"/>
      <c r="U63" s="140"/>
      <c r="V63" s="140"/>
      <c r="W63" s="130"/>
      <c r="X63" s="138"/>
      <c r="Y63" s="138"/>
      <c r="Z63" s="138"/>
      <c r="AA63" s="138"/>
      <c r="AB63" s="131"/>
      <c r="AC63" s="132"/>
      <c r="AD63" s="135"/>
      <c r="AE63" s="135"/>
      <c r="AF63" s="136"/>
      <c r="AG63" s="136"/>
      <c r="AH63" s="136"/>
      <c r="AI63" s="123">
        <f t="shared" si="2"/>
        <v>0</v>
      </c>
      <c r="AJ63" s="8"/>
    </row>
    <row r="64" spans="2:36" s="9" customFormat="1" ht="20.25" x14ac:dyDescent="0.3">
      <c r="B64" s="24">
        <v>44</v>
      </c>
      <c r="C64" s="130"/>
      <c r="D64" s="130"/>
      <c r="E64" s="130"/>
      <c r="F64" s="130"/>
      <c r="G64" s="138"/>
      <c r="H64" s="131"/>
      <c r="I64" s="132"/>
      <c r="J64" s="133"/>
      <c r="K64" s="131"/>
      <c r="L64" s="131"/>
      <c r="M64" s="130"/>
      <c r="N64" s="134"/>
      <c r="O64" s="261"/>
      <c r="P64" s="261"/>
      <c r="Q64" s="261"/>
      <c r="R64" s="131"/>
      <c r="S64" s="131"/>
      <c r="T64" s="131"/>
      <c r="U64" s="140"/>
      <c r="V64" s="140"/>
      <c r="W64" s="130"/>
      <c r="X64" s="138"/>
      <c r="Y64" s="138"/>
      <c r="Z64" s="138"/>
      <c r="AA64" s="138"/>
      <c r="AB64" s="131"/>
      <c r="AC64" s="132"/>
      <c r="AD64" s="135"/>
      <c r="AE64" s="135"/>
      <c r="AF64" s="136"/>
      <c r="AG64" s="136"/>
      <c r="AH64" s="136"/>
      <c r="AI64" s="123">
        <f t="shared" si="1"/>
        <v>0</v>
      </c>
      <c r="AJ64" s="8"/>
    </row>
    <row r="65" spans="2:36" s="9" customFormat="1" ht="20.25" x14ac:dyDescent="0.3">
      <c r="B65" s="24">
        <v>45</v>
      </c>
      <c r="C65" s="130"/>
      <c r="D65" s="130"/>
      <c r="E65" s="130"/>
      <c r="F65" s="130"/>
      <c r="G65" s="138"/>
      <c r="H65" s="131"/>
      <c r="I65" s="132"/>
      <c r="J65" s="133"/>
      <c r="K65" s="131"/>
      <c r="L65" s="131"/>
      <c r="M65" s="130"/>
      <c r="N65" s="134"/>
      <c r="O65" s="261"/>
      <c r="P65" s="261"/>
      <c r="Q65" s="261"/>
      <c r="R65" s="131"/>
      <c r="S65" s="131"/>
      <c r="T65" s="131"/>
      <c r="U65" s="140"/>
      <c r="V65" s="140"/>
      <c r="W65" s="130"/>
      <c r="X65" s="138"/>
      <c r="Y65" s="138"/>
      <c r="Z65" s="138"/>
      <c r="AA65" s="138"/>
      <c r="AB65" s="131"/>
      <c r="AC65" s="132"/>
      <c r="AD65" s="135"/>
      <c r="AE65" s="135"/>
      <c r="AF65" s="136"/>
      <c r="AG65" s="136"/>
      <c r="AH65" s="136"/>
      <c r="AI65" s="123">
        <f t="shared" si="1"/>
        <v>0</v>
      </c>
      <c r="AJ65" s="8"/>
    </row>
    <row r="66" spans="2:36" ht="15.75" x14ac:dyDescent="0.25">
      <c r="B66" s="25" t="s">
        <v>8</v>
      </c>
      <c r="C66" s="7">
        <f>SUMPRODUCT(C21:C65)</f>
        <v>1200</v>
      </c>
      <c r="D66" s="7">
        <f>SUMPRODUCT(D21:D65)</f>
        <v>1000</v>
      </c>
      <c r="E66" s="7">
        <f>SUM(E21:E65)</f>
        <v>2</v>
      </c>
      <c r="F66" s="7"/>
      <c r="G66" s="7"/>
      <c r="H66" s="7"/>
      <c r="I66" s="26">
        <f>SUMIF($I$21:$I$65,"**",$E$21:$E$65)</f>
        <v>0</v>
      </c>
      <c r="J66" s="33">
        <f>SUMPRODUCT($E$21:$E$65,$J$21:$J$65)/1000</f>
        <v>0</v>
      </c>
      <c r="K66" s="26">
        <f>SUMIF($K$21:$K$65,"**",$E$21:$E$65)</f>
        <v>0</v>
      </c>
      <c r="L66" s="26"/>
      <c r="M66" s="26"/>
      <c r="N66" s="26"/>
      <c r="O66" s="26"/>
      <c r="P66" s="26"/>
      <c r="Q66" s="26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>
        <f>SUMPRODUCT($E$21:$E$65,$AD$21:$AD$65)</f>
        <v>0</v>
      </c>
      <c r="AE66" s="7"/>
      <c r="AF66" s="7"/>
      <c r="AG66" s="7"/>
      <c r="AH66" s="26"/>
      <c r="AI66" s="124">
        <f>SUM(AI21:AI65)</f>
        <v>2.4</v>
      </c>
    </row>
    <row r="67" spans="2:36" s="9" customFormat="1" ht="20.25" x14ac:dyDescent="0.3">
      <c r="B67" s="27"/>
      <c r="C67" s="26"/>
      <c r="D67" s="26"/>
      <c r="E67" s="26"/>
      <c r="F67" s="26"/>
      <c r="G67" s="26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4"/>
      <c r="AD67" s="4"/>
      <c r="AE67" s="4"/>
      <c r="AF67" s="4"/>
      <c r="AG67" s="4"/>
      <c r="AH67" s="26"/>
      <c r="AI67" s="143">
        <f>AI66</f>
        <v>2.4</v>
      </c>
    </row>
    <row r="68" spans="2:36" s="9" customFormat="1" ht="20.25" x14ac:dyDescent="0.3">
      <c r="B68" s="4"/>
      <c r="C68" s="26"/>
      <c r="D68" s="4"/>
      <c r="E68" s="28"/>
      <c r="F68" s="28"/>
      <c r="G68" s="28"/>
      <c r="H68" s="28"/>
      <c r="I68" s="17" t="s">
        <v>182</v>
      </c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6"/>
      <c r="AD68" s="26"/>
      <c r="AE68" s="26"/>
      <c r="AF68" s="26"/>
      <c r="AG68" s="26"/>
      <c r="AH68" s="26"/>
      <c r="AI68" s="126">
        <f>(C66+D66)*2/1000</f>
        <v>4.4000000000000004</v>
      </c>
    </row>
    <row r="69" spans="2:36" s="9" customFormat="1" ht="20.25" x14ac:dyDescent="0.3">
      <c r="B69" s="17" t="s">
        <v>183</v>
      </c>
      <c r="C69" s="26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6"/>
      <c r="AD69" s="26"/>
      <c r="AE69" s="26"/>
      <c r="AF69" s="26"/>
      <c r="AG69" s="26"/>
      <c r="AH69" s="26"/>
      <c r="AI69" s="29"/>
    </row>
    <row r="70" spans="2:36" s="4" customFormat="1" ht="15.75" x14ac:dyDescent="0.25">
      <c r="B70" s="278" t="s">
        <v>181</v>
      </c>
      <c r="C70" s="278"/>
      <c r="D70" s="278"/>
      <c r="E70" s="278"/>
      <c r="F70" s="278"/>
      <c r="G70" s="278"/>
      <c r="H70" s="278"/>
      <c r="I70" s="278"/>
      <c r="J70" s="278"/>
      <c r="K70" s="278"/>
      <c r="L70" s="278"/>
      <c r="M70" s="278"/>
      <c r="N70" s="278"/>
      <c r="O70" s="278"/>
      <c r="P70" s="278"/>
      <c r="Q70" s="278"/>
      <c r="R70" s="278"/>
      <c r="S70" s="278"/>
      <c r="T70" s="278"/>
      <c r="U70" s="278"/>
      <c r="V70" s="278"/>
      <c r="W70" s="278"/>
      <c r="X70" s="278"/>
      <c r="Y70" s="278"/>
      <c r="Z70" s="278"/>
      <c r="AA70" s="278"/>
      <c r="AB70" s="278"/>
      <c r="AC70" s="278"/>
      <c r="AD70" s="278"/>
      <c r="AE70" s="278"/>
      <c r="AF70" s="278"/>
      <c r="AG70" s="278"/>
      <c r="AH70" s="278"/>
      <c r="AI70" s="278"/>
    </row>
    <row r="71" spans="2:36" ht="66" customHeight="1" x14ac:dyDescent="0.2">
      <c r="B71" s="96" t="s">
        <v>3</v>
      </c>
      <c r="C71" s="96" t="s">
        <v>80</v>
      </c>
      <c r="D71" s="96" t="s">
        <v>82</v>
      </c>
      <c r="E71" s="96" t="s">
        <v>81</v>
      </c>
      <c r="F71" s="96" t="s">
        <v>83</v>
      </c>
      <c r="G71" s="96" t="s">
        <v>282</v>
      </c>
      <c r="H71" s="96" t="s">
        <v>89</v>
      </c>
      <c r="I71" s="117" t="s">
        <v>308</v>
      </c>
      <c r="J71" s="285" t="s">
        <v>84</v>
      </c>
      <c r="K71" s="286"/>
      <c r="L71" s="285" t="s">
        <v>300</v>
      </c>
      <c r="M71" s="286"/>
      <c r="N71" s="112" t="s">
        <v>309</v>
      </c>
      <c r="O71" s="112" t="s">
        <v>289</v>
      </c>
      <c r="P71" s="96" t="s">
        <v>301</v>
      </c>
      <c r="Q71" s="96" t="s">
        <v>302</v>
      </c>
      <c r="R71" s="287" t="s">
        <v>85</v>
      </c>
      <c r="S71" s="287"/>
      <c r="T71" s="96" t="s">
        <v>86</v>
      </c>
      <c r="U71" s="116" t="s">
        <v>305</v>
      </c>
      <c r="V71" s="116" t="s">
        <v>310</v>
      </c>
      <c r="W71" s="96" t="s">
        <v>283</v>
      </c>
      <c r="X71" s="96" t="s">
        <v>312</v>
      </c>
      <c r="Y71" s="96" t="s">
        <v>303</v>
      </c>
      <c r="Z71" s="96" t="s">
        <v>311</v>
      </c>
      <c r="AA71" s="96" t="s">
        <v>304</v>
      </c>
      <c r="AB71" s="96" t="s">
        <v>90</v>
      </c>
      <c r="AC71" s="117" t="s">
        <v>87</v>
      </c>
      <c r="AD71" s="117" t="s">
        <v>306</v>
      </c>
      <c r="AE71" s="117" t="s">
        <v>307</v>
      </c>
      <c r="AF71" s="285" t="s">
        <v>204</v>
      </c>
      <c r="AG71" s="286"/>
      <c r="AH71" s="96" t="s">
        <v>79</v>
      </c>
      <c r="AI71" s="112" t="s">
        <v>88</v>
      </c>
    </row>
    <row r="72" spans="2:36" s="9" customFormat="1" ht="20.25" x14ac:dyDescent="0.3">
      <c r="B72" s="119">
        <v>1</v>
      </c>
      <c r="C72" s="130"/>
      <c r="D72" s="130"/>
      <c r="E72" s="130"/>
      <c r="F72" s="130"/>
      <c r="G72" s="131"/>
      <c r="H72" s="131"/>
      <c r="I72" s="132"/>
      <c r="J72" s="133"/>
      <c r="K72" s="131"/>
      <c r="L72" s="131"/>
      <c r="M72" s="130"/>
      <c r="N72" s="262"/>
      <c r="O72" s="263"/>
      <c r="P72" s="263"/>
      <c r="Q72" s="263"/>
      <c r="R72" s="131"/>
      <c r="S72" s="131"/>
      <c r="T72" s="131"/>
      <c r="U72" s="263"/>
      <c r="V72" s="263"/>
      <c r="W72" s="130"/>
      <c r="X72" s="263"/>
      <c r="Y72" s="263"/>
      <c r="Z72" s="263"/>
      <c r="AA72" s="263"/>
      <c r="AB72" s="131"/>
      <c r="AC72" s="132"/>
      <c r="AD72" s="135"/>
      <c r="AE72" s="135"/>
      <c r="AF72" s="136"/>
      <c r="AG72" s="136"/>
      <c r="AH72" s="141"/>
      <c r="AI72" s="127">
        <f>C72*D72/1000000*E72*3.14/2</f>
        <v>0</v>
      </c>
    </row>
    <row r="73" spans="2:36" s="9" customFormat="1" ht="21" customHeight="1" x14ac:dyDescent="0.3">
      <c r="B73" s="24">
        <v>2</v>
      </c>
      <c r="C73" s="130"/>
      <c r="D73" s="130"/>
      <c r="E73" s="130"/>
      <c r="F73" s="130"/>
      <c r="G73" s="130"/>
      <c r="H73" s="131"/>
      <c r="I73" s="132"/>
      <c r="J73" s="133"/>
      <c r="K73" s="131"/>
      <c r="L73" s="131"/>
      <c r="M73" s="130"/>
      <c r="N73" s="262"/>
      <c r="O73" s="264"/>
      <c r="P73" s="264"/>
      <c r="Q73" s="264"/>
      <c r="R73" s="131"/>
      <c r="S73" s="131"/>
      <c r="T73" s="131"/>
      <c r="U73" s="263"/>
      <c r="V73" s="263"/>
      <c r="W73" s="130"/>
      <c r="X73" s="263"/>
      <c r="Y73" s="263"/>
      <c r="Z73" s="263"/>
      <c r="AA73" s="263"/>
      <c r="AB73" s="131"/>
      <c r="AC73" s="132"/>
      <c r="AD73" s="135"/>
      <c r="AE73" s="135"/>
      <c r="AF73" s="136"/>
      <c r="AG73" s="136"/>
      <c r="AH73" s="141"/>
      <c r="AI73" s="127">
        <f>C73*D73/1000000*E73*3.14/2</f>
        <v>0</v>
      </c>
    </row>
    <row r="74" spans="2:36" s="9" customFormat="1" ht="21" customHeight="1" x14ac:dyDescent="0.3">
      <c r="B74" s="120">
        <v>3</v>
      </c>
      <c r="C74" s="130"/>
      <c r="D74" s="130"/>
      <c r="E74" s="130"/>
      <c r="F74" s="130"/>
      <c r="G74" s="130"/>
      <c r="H74" s="131"/>
      <c r="I74" s="132"/>
      <c r="J74" s="133"/>
      <c r="K74" s="131"/>
      <c r="L74" s="131"/>
      <c r="M74" s="130"/>
      <c r="N74" s="262"/>
      <c r="O74" s="264"/>
      <c r="P74" s="264"/>
      <c r="Q74" s="264"/>
      <c r="R74" s="131"/>
      <c r="S74" s="131"/>
      <c r="T74" s="131"/>
      <c r="U74" s="263"/>
      <c r="V74" s="263"/>
      <c r="W74" s="130"/>
      <c r="X74" s="263"/>
      <c r="Y74" s="263"/>
      <c r="Z74" s="263"/>
      <c r="AA74" s="263"/>
      <c r="AB74" s="131"/>
      <c r="AC74" s="132"/>
      <c r="AD74" s="135"/>
      <c r="AE74" s="135"/>
      <c r="AF74" s="136"/>
      <c r="AG74" s="136"/>
      <c r="AH74" s="141"/>
      <c r="AI74" s="127">
        <f>C74*D74/1000000*E74*3.14/2</f>
        <v>0</v>
      </c>
    </row>
    <row r="75" spans="2:36" s="9" customFormat="1" ht="20.25" x14ac:dyDescent="0.3">
      <c r="B75" s="24">
        <v>4</v>
      </c>
      <c r="C75" s="265"/>
      <c r="D75" s="265"/>
      <c r="E75" s="137"/>
      <c r="F75" s="130"/>
      <c r="G75" s="130"/>
      <c r="H75" s="131"/>
      <c r="I75" s="132"/>
      <c r="J75" s="133"/>
      <c r="K75" s="131"/>
      <c r="L75" s="131"/>
      <c r="M75" s="262"/>
      <c r="N75" s="262"/>
      <c r="O75" s="263"/>
      <c r="P75" s="263"/>
      <c r="Q75" s="263"/>
      <c r="R75" s="131"/>
      <c r="S75" s="131"/>
      <c r="T75" s="131"/>
      <c r="U75" s="263"/>
      <c r="V75" s="263"/>
      <c r="W75" s="130"/>
      <c r="X75" s="263"/>
      <c r="Y75" s="263"/>
      <c r="Z75" s="263"/>
      <c r="AA75" s="263"/>
      <c r="AB75" s="131"/>
      <c r="AC75" s="132"/>
      <c r="AD75" s="135"/>
      <c r="AE75" s="135"/>
      <c r="AF75" s="136"/>
      <c r="AG75" s="136"/>
      <c r="AH75" s="141"/>
      <c r="AI75" s="127">
        <f>C75*D75/1000000*E75*3.14/2</f>
        <v>0</v>
      </c>
    </row>
    <row r="76" spans="2:36" s="9" customFormat="1" ht="21" customHeight="1" x14ac:dyDescent="0.3">
      <c r="B76" s="120">
        <v>5</v>
      </c>
      <c r="C76" s="139"/>
      <c r="D76" s="266"/>
      <c r="E76" s="267"/>
      <c r="F76" s="130"/>
      <c r="G76" s="130"/>
      <c r="H76" s="131"/>
      <c r="I76" s="132"/>
      <c r="J76" s="133"/>
      <c r="K76" s="131"/>
      <c r="L76" s="131"/>
      <c r="M76" s="262"/>
      <c r="N76" s="262"/>
      <c r="O76" s="264"/>
      <c r="P76" s="264"/>
      <c r="Q76" s="264"/>
      <c r="R76" s="131"/>
      <c r="S76" s="131"/>
      <c r="T76" s="131"/>
      <c r="U76" s="263"/>
      <c r="V76" s="263"/>
      <c r="W76" s="130"/>
      <c r="X76" s="263"/>
      <c r="Y76" s="263"/>
      <c r="Z76" s="263"/>
      <c r="AA76" s="263"/>
      <c r="AB76" s="131"/>
      <c r="AC76" s="132"/>
      <c r="AD76" s="135"/>
      <c r="AE76" s="135"/>
      <c r="AF76" s="136"/>
      <c r="AG76" s="136"/>
      <c r="AH76" s="141"/>
      <c r="AI76" s="127">
        <f>C76*D76/1000000*E76*3.14/2</f>
        <v>0</v>
      </c>
    </row>
    <row r="77" spans="2:36" ht="15.75" x14ac:dyDescent="0.25">
      <c r="B77" s="26" t="s">
        <v>8</v>
      </c>
      <c r="C77" s="6"/>
      <c r="D77" s="26"/>
      <c r="E77" s="26">
        <f>SUM(E72:E76)</f>
        <v>0</v>
      </c>
      <c r="F77" s="26"/>
      <c r="G77" s="26"/>
      <c r="H77" s="26"/>
      <c r="I77" s="26">
        <f>SUM(I72:I76)</f>
        <v>0</v>
      </c>
      <c r="J77" s="26">
        <f>SUMPRODUCT($E$72:$E$76,$J$72:$J$76)/1000</f>
        <v>0</v>
      </c>
      <c r="K77" s="26">
        <f>SUMIF($K$72:$K$76,"**",$E$72:$E$76)</f>
        <v>0</v>
      </c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31"/>
      <c r="AD77" s="7">
        <f>SUMPRODUCT($E$72:$E$76,$AD$72:$AD$76)</f>
        <v>0</v>
      </c>
      <c r="AE77" s="31"/>
      <c r="AF77" s="31"/>
      <c r="AG77" s="31"/>
      <c r="AH77" s="31"/>
      <c r="AI77" s="124">
        <f>SUM(AI72:AI76)</f>
        <v>0</v>
      </c>
    </row>
    <row r="78" spans="2:36" s="9" customFormat="1" ht="20.25" x14ac:dyDescent="0.3">
      <c r="B78" s="282" t="s">
        <v>15</v>
      </c>
      <c r="C78" s="283"/>
      <c r="D78" s="284"/>
      <c r="E78" s="32">
        <f>SUM(E66)+(E77)</f>
        <v>2</v>
      </c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143">
        <f>AI77</f>
        <v>0</v>
      </c>
    </row>
    <row r="79" spans="2:36" s="9" customFormat="1" ht="21" thickBot="1" x14ac:dyDescent="0.35">
      <c r="B79" s="10"/>
      <c r="C79" s="10"/>
      <c r="D79" s="10"/>
      <c r="E79" s="7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143"/>
    </row>
    <row r="80" spans="2:36" s="9" customFormat="1" ht="20.25" x14ac:dyDescent="0.3">
      <c r="B80" s="288"/>
      <c r="C80" s="289"/>
      <c r="D80" s="289"/>
      <c r="E80" s="289"/>
      <c r="F80" s="290"/>
      <c r="G80" s="291"/>
      <c r="H80" s="288"/>
      <c r="I80" s="289"/>
      <c r="J80" s="289"/>
      <c r="K80" s="289"/>
      <c r="L80" s="289"/>
      <c r="M80" s="289"/>
      <c r="N80" s="290"/>
      <c r="O80" s="291"/>
      <c r="P80" s="291"/>
      <c r="Q80" s="291"/>
      <c r="R80" s="288"/>
      <c r="S80" s="289"/>
      <c r="T80" s="290"/>
      <c r="U80" s="291"/>
      <c r="V80" s="291"/>
      <c r="W80" s="292"/>
      <c r="X80" s="291"/>
      <c r="Y80" s="291"/>
      <c r="Z80" s="291"/>
      <c r="AA80" s="291"/>
      <c r="AB80" s="288"/>
      <c r="AC80" s="289"/>
      <c r="AD80" s="289"/>
      <c r="AE80" s="289"/>
      <c r="AF80" s="289"/>
      <c r="AG80" s="289"/>
      <c r="AH80" s="290"/>
      <c r="AI80" s="143"/>
    </row>
    <row r="81" spans="2:35" s="9" customFormat="1" ht="21" thickBot="1" x14ac:dyDescent="0.35">
      <c r="B81" s="293"/>
      <c r="C81" s="294"/>
      <c r="D81" s="294"/>
      <c r="E81" s="294"/>
      <c r="F81" s="295"/>
      <c r="G81" s="291"/>
      <c r="H81" s="293"/>
      <c r="I81" s="294"/>
      <c r="J81" s="294"/>
      <c r="K81" s="294"/>
      <c r="L81" s="294"/>
      <c r="M81" s="294"/>
      <c r="N81" s="295"/>
      <c r="O81" s="291"/>
      <c r="P81" s="291"/>
      <c r="Q81" s="291"/>
      <c r="R81" s="293"/>
      <c r="S81" s="294"/>
      <c r="T81" s="295"/>
      <c r="U81" s="291"/>
      <c r="V81" s="291"/>
      <c r="W81" s="296"/>
      <c r="X81" s="291"/>
      <c r="Y81" s="291"/>
      <c r="Z81" s="291"/>
      <c r="AA81" s="291"/>
      <c r="AB81" s="293"/>
      <c r="AC81" s="294"/>
      <c r="AD81" s="294"/>
      <c r="AE81" s="294"/>
      <c r="AF81" s="294"/>
      <c r="AG81" s="294"/>
      <c r="AH81" s="295"/>
      <c r="AI81" s="143"/>
    </row>
    <row r="82" spans="2:35" ht="15.75" x14ac:dyDescent="0.25">
      <c r="B82" s="6"/>
      <c r="C82" s="6"/>
      <c r="D82" s="6"/>
      <c r="E82" s="7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125"/>
    </row>
    <row r="83" spans="2:35" ht="20.25" x14ac:dyDescent="0.3">
      <c r="B83" s="10" t="s">
        <v>4</v>
      </c>
      <c r="C83" s="10"/>
      <c r="D83" s="277">
        <f>AF10</f>
        <v>0</v>
      </c>
      <c r="E83" s="277"/>
      <c r="F83" s="277"/>
      <c r="G83" s="78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33"/>
    </row>
    <row r="84" spans="2:35" ht="28.5" customHeight="1" x14ac:dyDescent="0.3">
      <c r="B84" s="10" t="s">
        <v>5</v>
      </c>
      <c r="C84" s="10"/>
      <c r="D84" s="279">
        <f>D83+21</f>
        <v>21</v>
      </c>
      <c r="E84" s="280"/>
      <c r="F84" s="281"/>
      <c r="G84" s="78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5"/>
      <c r="AD84" s="35"/>
      <c r="AE84" s="35"/>
      <c r="AF84" s="35"/>
      <c r="AG84" s="35"/>
      <c r="AH84" s="35"/>
      <c r="AI84" s="29"/>
    </row>
    <row r="85" spans="2:35" ht="15.75" hidden="1" x14ac:dyDescent="0.25">
      <c r="B85" s="276" t="s">
        <v>17</v>
      </c>
      <c r="C85" s="276"/>
      <c r="D85" s="276"/>
      <c r="E85" s="276"/>
      <c r="F85" s="276"/>
      <c r="G85" s="276"/>
      <c r="H85" s="276"/>
      <c r="I85" s="276"/>
      <c r="J85" s="276"/>
      <c r="K85" s="276"/>
      <c r="L85" s="276"/>
      <c r="M85" s="276"/>
      <c r="N85" s="276"/>
      <c r="O85" s="276"/>
      <c r="P85" s="276"/>
      <c r="Q85" s="276"/>
      <c r="R85" s="276"/>
      <c r="S85" s="276"/>
      <c r="T85" s="276"/>
      <c r="U85" s="276"/>
      <c r="V85" s="276"/>
      <c r="W85" s="276"/>
      <c r="X85" s="276"/>
      <c r="Y85" s="276"/>
      <c r="Z85" s="276"/>
      <c r="AA85" s="276"/>
      <c r="AB85" s="276"/>
      <c r="AC85" s="276"/>
      <c r="AD85" s="276"/>
      <c r="AE85" s="276"/>
      <c r="AF85" s="276"/>
      <c r="AG85" s="276"/>
      <c r="AH85" s="276"/>
      <c r="AI85" s="276"/>
    </row>
    <row r="86" spans="2:35" ht="15.75" hidden="1" x14ac:dyDescent="0.25">
      <c r="B86" s="6"/>
      <c r="C86" s="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36" t="s">
        <v>6</v>
      </c>
      <c r="S86" s="36" t="s">
        <v>7</v>
      </c>
      <c r="T86" s="36" t="s">
        <v>8</v>
      </c>
      <c r="U86" s="36"/>
      <c r="V86" s="36"/>
      <c r="W86" s="36"/>
      <c r="X86" s="36"/>
      <c r="Y86" s="36"/>
      <c r="Z86" s="36"/>
      <c r="AA86" s="36"/>
      <c r="AC86" s="6"/>
      <c r="AD86" s="6"/>
      <c r="AE86" s="6"/>
      <c r="AF86" s="6"/>
      <c r="AG86" s="6"/>
      <c r="AH86" s="6"/>
      <c r="AI86" s="6"/>
    </row>
    <row r="87" spans="2:35" ht="20.25" hidden="1" x14ac:dyDescent="0.3">
      <c r="B87" s="43" t="s">
        <v>212</v>
      </c>
      <c r="C87" s="43"/>
      <c r="D87" s="43"/>
      <c r="E87" s="43"/>
      <c r="F87" s="43"/>
      <c r="G87" s="43"/>
      <c r="H87" s="43"/>
      <c r="I87" s="37"/>
      <c r="J87" s="38"/>
      <c r="K87" s="80" t="s">
        <v>25</v>
      </c>
      <c r="L87" s="80"/>
      <c r="M87" s="80"/>
      <c r="N87" s="80"/>
      <c r="O87" s="80"/>
      <c r="P87" s="80"/>
      <c r="Q87" s="80"/>
      <c r="R87" s="39"/>
      <c r="S87" s="30"/>
      <c r="T87" s="146">
        <f t="shared" ref="T87:T124" si="3">S87*R87</f>
        <v>0</v>
      </c>
      <c r="U87" s="36"/>
      <c r="V87" s="36"/>
      <c r="W87" s="36"/>
      <c r="X87" s="36"/>
      <c r="Y87" s="36"/>
      <c r="Z87" s="36"/>
      <c r="AA87" s="36"/>
      <c r="AC87" s="40" t="s">
        <v>9</v>
      </c>
      <c r="AD87" s="40"/>
      <c r="AE87" s="40"/>
      <c r="AF87" s="40"/>
      <c r="AG87" s="40"/>
      <c r="AH87" s="40"/>
      <c r="AI87" s="144">
        <f>SUM(T87:T124)</f>
        <v>0</v>
      </c>
    </row>
    <row r="88" spans="2:35" ht="18" hidden="1" x14ac:dyDescent="0.25">
      <c r="B88" s="80" t="s">
        <v>213</v>
      </c>
      <c r="C88" s="43"/>
      <c r="D88" s="43"/>
      <c r="E88" s="43"/>
      <c r="F88" s="43"/>
      <c r="G88" s="43"/>
      <c r="H88" s="43"/>
      <c r="I88" s="37"/>
      <c r="J88" s="38"/>
      <c r="K88" s="80" t="s">
        <v>25</v>
      </c>
      <c r="L88" s="80"/>
      <c r="M88" s="80"/>
      <c r="N88" s="80"/>
      <c r="O88" s="80"/>
      <c r="P88" s="80"/>
      <c r="Q88" s="80"/>
      <c r="R88" s="39"/>
      <c r="S88" s="30"/>
      <c r="T88" s="146">
        <f t="shared" si="3"/>
        <v>0</v>
      </c>
      <c r="U88" s="36"/>
      <c r="V88" s="36"/>
      <c r="W88" s="36"/>
      <c r="X88" s="36"/>
      <c r="Y88" s="36"/>
      <c r="Z88" s="36"/>
      <c r="AA88" s="36"/>
      <c r="AC88" s="41" t="s">
        <v>10</v>
      </c>
      <c r="AD88" s="41"/>
      <c r="AE88" s="41"/>
      <c r="AF88" s="41"/>
      <c r="AG88" s="41"/>
      <c r="AH88" s="41"/>
      <c r="AI88" s="148"/>
    </row>
    <row r="89" spans="2:35" ht="15.75" hidden="1" x14ac:dyDescent="0.25">
      <c r="B89" s="43" t="s">
        <v>214</v>
      </c>
      <c r="C89" s="80"/>
      <c r="D89" s="80"/>
      <c r="E89" s="80"/>
      <c r="F89" s="80"/>
      <c r="G89" s="80"/>
      <c r="H89" s="80"/>
      <c r="I89" s="37"/>
      <c r="J89" s="38"/>
      <c r="K89" s="80" t="s">
        <v>25</v>
      </c>
      <c r="L89" s="80"/>
      <c r="M89" s="80"/>
      <c r="N89" s="80"/>
      <c r="O89" s="80"/>
      <c r="P89" s="80"/>
      <c r="Q89" s="80"/>
      <c r="R89" s="39"/>
      <c r="S89" s="30"/>
      <c r="T89" s="146">
        <f t="shared" si="3"/>
        <v>0</v>
      </c>
      <c r="U89" s="36"/>
      <c r="V89" s="36"/>
      <c r="W89" s="36"/>
      <c r="X89" s="36"/>
      <c r="Y89" s="36"/>
      <c r="Z89" s="36"/>
      <c r="AA89" s="36"/>
      <c r="AC89" s="6"/>
      <c r="AD89" s="6"/>
      <c r="AE89" s="6"/>
      <c r="AF89" s="6"/>
      <c r="AG89" s="6"/>
      <c r="AH89" s="6"/>
      <c r="AI89" s="129">
        <f>(AI87*(100-AI88)/100)</f>
        <v>0</v>
      </c>
    </row>
    <row r="90" spans="2:35" ht="15.75" hidden="1" x14ac:dyDescent="0.25">
      <c r="B90" s="80" t="s">
        <v>215</v>
      </c>
      <c r="C90" s="80"/>
      <c r="D90" s="80"/>
      <c r="E90" s="80"/>
      <c r="F90" s="80"/>
      <c r="G90" s="80"/>
      <c r="H90" s="80"/>
      <c r="I90" s="37"/>
      <c r="J90" s="38"/>
      <c r="K90" s="80" t="s">
        <v>25</v>
      </c>
      <c r="L90" s="80"/>
      <c r="M90" s="80"/>
      <c r="N90" s="80"/>
      <c r="O90" s="80"/>
      <c r="P90" s="80"/>
      <c r="Q90" s="80"/>
      <c r="R90" s="39"/>
      <c r="S90" s="30"/>
      <c r="T90" s="146">
        <f t="shared" si="3"/>
        <v>0</v>
      </c>
      <c r="U90" s="36"/>
      <c r="V90" s="36"/>
      <c r="W90" s="36"/>
      <c r="X90" s="36"/>
      <c r="Y90" s="36"/>
      <c r="Z90" s="36"/>
      <c r="AA90" s="36"/>
      <c r="AC90" s="10" t="s">
        <v>11</v>
      </c>
      <c r="AD90" s="10"/>
      <c r="AE90" s="10"/>
      <c r="AF90" s="10"/>
      <c r="AG90" s="10"/>
      <c r="AH90" s="10"/>
      <c r="AI90" s="128"/>
    </row>
    <row r="91" spans="2:35" ht="20.25" hidden="1" x14ac:dyDescent="0.3">
      <c r="B91" s="43" t="s">
        <v>216</v>
      </c>
      <c r="C91" s="80"/>
      <c r="D91" s="80"/>
      <c r="E91" s="80"/>
      <c r="F91" s="80"/>
      <c r="G91" s="80"/>
      <c r="H91" s="80"/>
      <c r="I91" s="37"/>
      <c r="J91" s="38"/>
      <c r="K91" s="80" t="s">
        <v>25</v>
      </c>
      <c r="L91" s="80"/>
      <c r="M91" s="80"/>
      <c r="N91" s="80"/>
      <c r="O91" s="80"/>
      <c r="P91" s="80"/>
      <c r="Q91" s="80"/>
      <c r="R91" s="39"/>
      <c r="S91" s="30"/>
      <c r="T91" s="146">
        <f t="shared" si="3"/>
        <v>0</v>
      </c>
      <c r="U91" s="36"/>
      <c r="V91" s="36"/>
      <c r="W91" s="36"/>
      <c r="X91" s="36"/>
      <c r="Y91" s="36"/>
      <c r="Z91" s="36"/>
      <c r="AA91" s="36"/>
      <c r="AC91" s="10" t="s">
        <v>12</v>
      </c>
      <c r="AD91" s="10"/>
      <c r="AE91" s="10"/>
      <c r="AF91" s="10"/>
      <c r="AG91" s="10"/>
      <c r="AH91" s="10"/>
      <c r="AI91" s="145">
        <f>AI89-AI90</f>
        <v>0</v>
      </c>
    </row>
    <row r="92" spans="2:35" ht="15.75" hidden="1" x14ac:dyDescent="0.25">
      <c r="B92" s="80" t="s">
        <v>217</v>
      </c>
      <c r="C92" s="80"/>
      <c r="D92" s="80"/>
      <c r="E92" s="80"/>
      <c r="F92" s="80"/>
      <c r="G92" s="80"/>
      <c r="H92" s="80"/>
      <c r="I92" s="37"/>
      <c r="J92" s="38"/>
      <c r="K92" s="80" t="s">
        <v>25</v>
      </c>
      <c r="L92" s="80"/>
      <c r="M92" s="80"/>
      <c r="N92" s="80"/>
      <c r="O92" s="80"/>
      <c r="P92" s="80"/>
      <c r="Q92" s="80"/>
      <c r="R92" s="39"/>
      <c r="S92" s="30"/>
      <c r="T92" s="146">
        <f t="shared" si="3"/>
        <v>0</v>
      </c>
      <c r="U92" s="36"/>
      <c r="V92" s="36"/>
      <c r="W92" s="36"/>
      <c r="X92" s="36"/>
      <c r="Y92" s="36"/>
      <c r="Z92" s="36"/>
      <c r="AA92" s="36"/>
      <c r="AC92" s="41"/>
      <c r="AD92" s="41"/>
      <c r="AE92" s="41"/>
      <c r="AF92" s="41"/>
      <c r="AG92" s="41"/>
      <c r="AH92" s="41"/>
      <c r="AI92" s="128"/>
    </row>
    <row r="93" spans="2:35" ht="15.75" hidden="1" x14ac:dyDescent="0.25">
      <c r="B93" s="80" t="s">
        <v>218</v>
      </c>
      <c r="C93" s="80"/>
      <c r="D93" s="80"/>
      <c r="E93" s="80"/>
      <c r="F93" s="80"/>
      <c r="G93" s="80"/>
      <c r="H93" s="80"/>
      <c r="I93" s="37"/>
      <c r="J93" s="38"/>
      <c r="K93" s="80" t="s">
        <v>25</v>
      </c>
      <c r="L93" s="80"/>
      <c r="M93" s="80"/>
      <c r="N93" s="80"/>
      <c r="O93" s="80"/>
      <c r="P93" s="80"/>
      <c r="Q93" s="80"/>
      <c r="R93" s="39"/>
      <c r="S93" s="30"/>
      <c r="T93" s="146">
        <f t="shared" si="3"/>
        <v>0</v>
      </c>
      <c r="U93" s="36"/>
      <c r="V93" s="36"/>
      <c r="W93" s="36"/>
      <c r="X93" s="36"/>
      <c r="Y93" s="36"/>
      <c r="Z93" s="36"/>
      <c r="AA93" s="36"/>
      <c r="AC93" s="41"/>
      <c r="AD93" s="41"/>
      <c r="AE93" s="41"/>
      <c r="AF93" s="41"/>
      <c r="AG93" s="41"/>
      <c r="AH93" s="41"/>
      <c r="AI93" s="42"/>
    </row>
    <row r="94" spans="2:35" ht="15.75" hidden="1" x14ac:dyDescent="0.25">
      <c r="B94" s="80" t="s">
        <v>219</v>
      </c>
      <c r="C94" s="80"/>
      <c r="D94" s="80"/>
      <c r="E94" s="80"/>
      <c r="F94" s="80"/>
      <c r="G94" s="80"/>
      <c r="H94" s="80"/>
      <c r="I94" s="37"/>
      <c r="J94" s="38"/>
      <c r="K94" s="80" t="s">
        <v>25</v>
      </c>
      <c r="L94" s="80"/>
      <c r="M94" s="80"/>
      <c r="N94" s="80"/>
      <c r="O94" s="80"/>
      <c r="P94" s="80"/>
      <c r="Q94" s="80"/>
      <c r="R94" s="39"/>
      <c r="S94" s="30"/>
      <c r="T94" s="146">
        <f t="shared" si="3"/>
        <v>0</v>
      </c>
      <c r="U94" s="36"/>
      <c r="V94" s="36"/>
      <c r="W94" s="36"/>
      <c r="X94" s="36"/>
      <c r="Y94" s="36"/>
      <c r="Z94" s="36"/>
      <c r="AA94" s="36"/>
      <c r="AC94" s="41"/>
      <c r="AD94" s="41"/>
      <c r="AE94" s="41"/>
      <c r="AF94" s="41"/>
      <c r="AG94" s="41"/>
      <c r="AH94" s="41"/>
      <c r="AI94" s="42"/>
    </row>
    <row r="95" spans="2:35" ht="15.75" hidden="1" x14ac:dyDescent="0.25">
      <c r="B95" s="80" t="s">
        <v>220</v>
      </c>
      <c r="C95" s="80"/>
      <c r="D95" s="80"/>
      <c r="E95" s="80"/>
      <c r="F95" s="80"/>
      <c r="G95" s="80"/>
      <c r="H95" s="80"/>
      <c r="I95" s="37"/>
      <c r="J95" s="38"/>
      <c r="K95" s="80" t="s">
        <v>25</v>
      </c>
      <c r="L95" s="80"/>
      <c r="M95" s="80"/>
      <c r="N95" s="80"/>
      <c r="O95" s="80"/>
      <c r="P95" s="80"/>
      <c r="Q95" s="80"/>
      <c r="R95" s="39"/>
      <c r="S95" s="30"/>
      <c r="T95" s="146">
        <f t="shared" si="3"/>
        <v>0</v>
      </c>
      <c r="U95" s="36"/>
      <c r="V95" s="36"/>
      <c r="W95" s="36"/>
      <c r="X95" s="36"/>
      <c r="Y95" s="36"/>
      <c r="Z95" s="36"/>
      <c r="AA95" s="36"/>
      <c r="AC95" s="41"/>
      <c r="AD95" s="41"/>
      <c r="AE95" s="41"/>
      <c r="AF95" s="41"/>
      <c r="AG95" s="41"/>
      <c r="AH95" s="41"/>
      <c r="AI95" s="42"/>
    </row>
    <row r="96" spans="2:35" ht="15.75" hidden="1" x14ac:dyDescent="0.25">
      <c r="B96" s="80" t="s">
        <v>221</v>
      </c>
      <c r="C96" s="80"/>
      <c r="D96" s="80"/>
      <c r="E96" s="80"/>
      <c r="F96" s="80"/>
      <c r="G96" s="80"/>
      <c r="H96" s="80"/>
      <c r="I96" s="37"/>
      <c r="J96" s="38"/>
      <c r="K96" s="80" t="s">
        <v>25</v>
      </c>
      <c r="L96" s="80"/>
      <c r="M96" s="80"/>
      <c r="N96" s="80"/>
      <c r="O96" s="80"/>
      <c r="P96" s="80"/>
      <c r="Q96" s="80"/>
      <c r="R96" s="39"/>
      <c r="S96" s="30"/>
      <c r="T96" s="146">
        <f t="shared" si="3"/>
        <v>0</v>
      </c>
      <c r="U96" s="36"/>
      <c r="V96" s="36"/>
      <c r="W96" s="36"/>
      <c r="X96" s="36"/>
      <c r="Y96" s="36"/>
      <c r="Z96" s="36"/>
      <c r="AA96" s="36"/>
      <c r="AC96" s="41"/>
      <c r="AD96" s="41"/>
      <c r="AE96" s="41"/>
      <c r="AF96" s="41"/>
      <c r="AG96" s="41"/>
      <c r="AH96" s="41"/>
      <c r="AI96" s="42"/>
    </row>
    <row r="97" spans="2:35" ht="15.75" hidden="1" x14ac:dyDescent="0.25">
      <c r="B97" s="80" t="s">
        <v>222</v>
      </c>
      <c r="C97" s="80"/>
      <c r="D97" s="80"/>
      <c r="E97" s="80"/>
      <c r="F97" s="80"/>
      <c r="G97" s="80"/>
      <c r="H97" s="80"/>
      <c r="I97" s="37"/>
      <c r="J97" s="38"/>
      <c r="K97" s="80" t="s">
        <v>25</v>
      </c>
      <c r="L97" s="80"/>
      <c r="M97" s="80"/>
      <c r="N97" s="80"/>
      <c r="O97" s="80"/>
      <c r="P97" s="80"/>
      <c r="Q97" s="80"/>
      <c r="R97" s="39"/>
      <c r="S97" s="30"/>
      <c r="T97" s="146">
        <f t="shared" si="3"/>
        <v>0</v>
      </c>
      <c r="U97" s="36"/>
      <c r="V97" s="36"/>
      <c r="W97" s="36"/>
      <c r="X97" s="36"/>
      <c r="Y97" s="36"/>
      <c r="Z97" s="36"/>
      <c r="AA97" s="36"/>
      <c r="AC97" s="41"/>
      <c r="AD97" s="41"/>
      <c r="AE97" s="41"/>
      <c r="AF97" s="41"/>
      <c r="AG97" s="41"/>
      <c r="AH97" s="41"/>
      <c r="AI97" s="42"/>
    </row>
    <row r="98" spans="2:35" ht="15.75" hidden="1" x14ac:dyDescent="0.25">
      <c r="B98" s="80" t="s">
        <v>223</v>
      </c>
      <c r="C98" s="80"/>
      <c r="D98" s="80"/>
      <c r="E98" s="80"/>
      <c r="F98" s="80"/>
      <c r="G98" s="80"/>
      <c r="H98" s="80"/>
      <c r="I98" s="37"/>
      <c r="J98" s="38"/>
      <c r="K98" s="80" t="s">
        <v>25</v>
      </c>
      <c r="L98" s="80"/>
      <c r="M98" s="80"/>
      <c r="N98" s="80"/>
      <c r="O98" s="80"/>
      <c r="P98" s="80"/>
      <c r="Q98" s="80"/>
      <c r="R98" s="39"/>
      <c r="S98" s="30"/>
      <c r="T98" s="146">
        <f t="shared" si="3"/>
        <v>0</v>
      </c>
      <c r="U98" s="36"/>
      <c r="V98" s="36"/>
      <c r="W98" s="36"/>
      <c r="X98" s="36"/>
      <c r="Y98" s="36"/>
      <c r="Z98" s="36"/>
      <c r="AA98" s="36"/>
      <c r="AC98" s="41"/>
      <c r="AD98" s="41"/>
      <c r="AE98" s="41"/>
      <c r="AF98" s="41"/>
      <c r="AG98" s="41"/>
      <c r="AH98" s="41"/>
      <c r="AI98" s="42"/>
    </row>
    <row r="99" spans="2:35" ht="15.75" hidden="1" x14ac:dyDescent="0.25">
      <c r="B99" s="80" t="s">
        <v>224</v>
      </c>
      <c r="C99" s="80"/>
      <c r="D99" s="80"/>
      <c r="E99" s="80"/>
      <c r="F99" s="80"/>
      <c r="G99" s="80"/>
      <c r="H99" s="80"/>
      <c r="I99" s="37"/>
      <c r="J99" s="38"/>
      <c r="K99" s="80" t="s">
        <v>25</v>
      </c>
      <c r="L99" s="80"/>
      <c r="M99" s="80"/>
      <c r="N99" s="80"/>
      <c r="O99" s="80"/>
      <c r="P99" s="80"/>
      <c r="Q99" s="80"/>
      <c r="R99" s="39"/>
      <c r="S99" s="30"/>
      <c r="T99" s="146">
        <f t="shared" si="3"/>
        <v>0</v>
      </c>
      <c r="U99" s="36"/>
      <c r="V99" s="36"/>
      <c r="W99" s="36"/>
      <c r="X99" s="36"/>
      <c r="Y99" s="36"/>
      <c r="Z99" s="36"/>
      <c r="AA99" s="36"/>
      <c r="AC99" s="41"/>
      <c r="AD99" s="41"/>
      <c r="AE99" s="41"/>
      <c r="AF99" s="41"/>
      <c r="AG99" s="41"/>
      <c r="AH99" s="41"/>
      <c r="AI99" s="42"/>
    </row>
    <row r="100" spans="2:35" ht="15.75" hidden="1" x14ac:dyDescent="0.25">
      <c r="B100" s="80" t="s">
        <v>225</v>
      </c>
      <c r="C100" s="80"/>
      <c r="D100" s="80"/>
      <c r="E100" s="80"/>
      <c r="F100" s="80"/>
      <c r="G100" s="80"/>
      <c r="H100" s="80"/>
      <c r="I100" s="37"/>
      <c r="J100" s="38"/>
      <c r="K100" s="80" t="s">
        <v>25</v>
      </c>
      <c r="L100" s="80"/>
      <c r="M100" s="80"/>
      <c r="N100" s="80"/>
      <c r="O100" s="80"/>
      <c r="P100" s="80"/>
      <c r="Q100" s="80"/>
      <c r="R100" s="39"/>
      <c r="S100" s="30"/>
      <c r="T100" s="146">
        <f t="shared" si="3"/>
        <v>0</v>
      </c>
      <c r="U100" s="36"/>
      <c r="V100" s="36"/>
      <c r="W100" s="36"/>
      <c r="X100" s="36"/>
      <c r="Y100" s="36"/>
      <c r="Z100" s="36"/>
      <c r="AA100" s="36"/>
      <c r="AC100" s="41"/>
      <c r="AD100" s="41"/>
      <c r="AE100" s="41"/>
      <c r="AF100" s="41"/>
      <c r="AG100" s="41"/>
      <c r="AH100" s="41"/>
      <c r="AI100" s="42"/>
    </row>
    <row r="101" spans="2:35" ht="15.75" hidden="1" x14ac:dyDescent="0.25">
      <c r="B101" s="92" t="s">
        <v>244</v>
      </c>
      <c r="C101" s="80"/>
      <c r="D101" s="80"/>
      <c r="E101" s="80"/>
      <c r="F101" s="80"/>
      <c r="G101" s="80"/>
      <c r="H101" s="80"/>
      <c r="I101" s="37"/>
      <c r="J101" s="38"/>
      <c r="K101" s="80" t="s">
        <v>25</v>
      </c>
      <c r="L101" s="80"/>
      <c r="M101" s="80"/>
      <c r="N101" s="80"/>
      <c r="O101" s="80"/>
      <c r="P101" s="80"/>
      <c r="Q101" s="80"/>
      <c r="R101" s="39"/>
      <c r="S101" s="30"/>
      <c r="T101" s="146">
        <f t="shared" si="3"/>
        <v>0</v>
      </c>
      <c r="U101" s="36"/>
      <c r="V101" s="36"/>
      <c r="W101" s="36"/>
      <c r="X101" s="36"/>
      <c r="Y101" s="36"/>
      <c r="Z101" s="36"/>
      <c r="AA101" s="36"/>
      <c r="AC101" s="41"/>
      <c r="AD101" s="41"/>
      <c r="AE101" s="41"/>
      <c r="AF101" s="41"/>
      <c r="AG101" s="41"/>
      <c r="AH101" s="41"/>
      <c r="AI101" s="42"/>
    </row>
    <row r="102" spans="2:35" ht="15.75" hidden="1" x14ac:dyDescent="0.25">
      <c r="B102" s="93" t="s">
        <v>245</v>
      </c>
      <c r="C102" s="80"/>
      <c r="D102" s="80"/>
      <c r="E102" s="80"/>
      <c r="F102" s="80"/>
      <c r="G102" s="80"/>
      <c r="H102" s="80"/>
      <c r="I102" s="37"/>
      <c r="J102" s="38"/>
      <c r="K102" s="80" t="s">
        <v>25</v>
      </c>
      <c r="L102" s="80"/>
      <c r="M102" s="80"/>
      <c r="N102" s="80"/>
      <c r="O102" s="80"/>
      <c r="P102" s="80"/>
      <c r="Q102" s="80"/>
      <c r="R102" s="39"/>
      <c r="S102" s="30"/>
      <c r="T102" s="146">
        <f t="shared" si="3"/>
        <v>0</v>
      </c>
      <c r="U102" s="36"/>
      <c r="V102" s="36"/>
      <c r="W102" s="36"/>
      <c r="X102" s="36"/>
      <c r="Y102" s="36"/>
      <c r="Z102" s="36"/>
      <c r="AA102" s="36"/>
      <c r="AC102" s="41"/>
      <c r="AD102" s="41"/>
      <c r="AE102" s="41"/>
      <c r="AF102" s="41"/>
      <c r="AG102" s="41"/>
      <c r="AH102" s="41"/>
      <c r="AI102" s="42"/>
    </row>
    <row r="103" spans="2:35" ht="15.75" hidden="1" x14ac:dyDescent="0.25">
      <c r="B103" s="92" t="s">
        <v>246</v>
      </c>
      <c r="C103" s="80"/>
      <c r="D103" s="80"/>
      <c r="E103" s="80"/>
      <c r="F103" s="80"/>
      <c r="G103" s="80"/>
      <c r="H103" s="80"/>
      <c r="I103" s="37"/>
      <c r="J103" s="38"/>
      <c r="K103" s="80" t="s">
        <v>25</v>
      </c>
      <c r="L103" s="80"/>
      <c r="M103" s="80"/>
      <c r="N103" s="80"/>
      <c r="O103" s="80"/>
      <c r="P103" s="80"/>
      <c r="Q103" s="80"/>
      <c r="R103" s="39"/>
      <c r="S103" s="30"/>
      <c r="T103" s="146">
        <f t="shared" si="3"/>
        <v>0</v>
      </c>
      <c r="U103" s="36"/>
      <c r="V103" s="36"/>
      <c r="W103" s="36"/>
      <c r="X103" s="36"/>
      <c r="Y103" s="36"/>
      <c r="Z103" s="36"/>
      <c r="AA103" s="36"/>
      <c r="AC103" s="41"/>
      <c r="AD103" s="41"/>
      <c r="AE103" s="41"/>
      <c r="AF103" s="41"/>
      <c r="AG103" s="41"/>
      <c r="AH103" s="41"/>
      <c r="AI103" s="42"/>
    </row>
    <row r="104" spans="2:35" ht="15.75" hidden="1" x14ac:dyDescent="0.25">
      <c r="B104" s="93" t="s">
        <v>247</v>
      </c>
      <c r="C104" s="80"/>
      <c r="D104" s="80"/>
      <c r="E104" s="80"/>
      <c r="F104" s="80"/>
      <c r="G104" s="80"/>
      <c r="H104" s="80"/>
      <c r="I104" s="37"/>
      <c r="J104" s="38"/>
      <c r="K104" s="80" t="s">
        <v>25</v>
      </c>
      <c r="L104" s="80"/>
      <c r="M104" s="80"/>
      <c r="N104" s="80"/>
      <c r="O104" s="80"/>
      <c r="P104" s="80"/>
      <c r="Q104" s="80"/>
      <c r="R104" s="39"/>
      <c r="S104" s="30"/>
      <c r="T104" s="146">
        <f t="shared" si="3"/>
        <v>0</v>
      </c>
      <c r="U104" s="36"/>
      <c r="V104" s="36"/>
      <c r="W104" s="36"/>
      <c r="X104" s="36"/>
      <c r="Y104" s="36"/>
      <c r="Z104" s="36"/>
      <c r="AA104" s="36"/>
      <c r="AC104" s="41"/>
      <c r="AD104" s="41"/>
      <c r="AE104" s="41"/>
      <c r="AF104" s="41"/>
      <c r="AG104" s="41"/>
      <c r="AH104" s="41"/>
      <c r="AI104" s="42"/>
    </row>
    <row r="105" spans="2:35" ht="15.75" hidden="1" x14ac:dyDescent="0.25">
      <c r="B105" s="92" t="s">
        <v>248</v>
      </c>
      <c r="C105" s="80"/>
      <c r="D105" s="80"/>
      <c r="E105" s="80"/>
      <c r="F105" s="80"/>
      <c r="G105" s="80"/>
      <c r="H105" s="80"/>
      <c r="I105" s="37"/>
      <c r="J105" s="38"/>
      <c r="K105" s="80" t="s">
        <v>25</v>
      </c>
      <c r="L105" s="80"/>
      <c r="M105" s="80"/>
      <c r="N105" s="80"/>
      <c r="O105" s="80"/>
      <c r="P105" s="80"/>
      <c r="Q105" s="80"/>
      <c r="R105" s="39"/>
      <c r="S105" s="30"/>
      <c r="T105" s="146">
        <f t="shared" si="3"/>
        <v>0</v>
      </c>
      <c r="U105" s="36"/>
      <c r="V105" s="36"/>
      <c r="W105" s="36"/>
      <c r="X105" s="36"/>
      <c r="Y105" s="36"/>
      <c r="Z105" s="36"/>
      <c r="AA105" s="36"/>
      <c r="AC105" s="41"/>
      <c r="AD105" s="41"/>
      <c r="AE105" s="41"/>
      <c r="AF105" s="41"/>
      <c r="AG105" s="41"/>
      <c r="AH105" s="41"/>
      <c r="AI105" s="42"/>
    </row>
    <row r="106" spans="2:35" ht="15.75" hidden="1" x14ac:dyDescent="0.25">
      <c r="B106" s="93" t="s">
        <v>249</v>
      </c>
      <c r="C106" s="80"/>
      <c r="D106" s="80"/>
      <c r="E106" s="80"/>
      <c r="F106" s="80"/>
      <c r="G106" s="80"/>
      <c r="H106" s="80"/>
      <c r="I106" s="37"/>
      <c r="J106" s="38"/>
      <c r="K106" s="80" t="s">
        <v>25</v>
      </c>
      <c r="L106" s="80"/>
      <c r="M106" s="80"/>
      <c r="N106" s="80"/>
      <c r="O106" s="80"/>
      <c r="P106" s="80"/>
      <c r="Q106" s="80"/>
      <c r="R106" s="39"/>
      <c r="S106" s="30"/>
      <c r="T106" s="146">
        <f t="shared" si="3"/>
        <v>0</v>
      </c>
      <c r="U106" s="36"/>
      <c r="V106" s="36"/>
      <c r="W106" s="36"/>
      <c r="X106" s="36"/>
      <c r="Y106" s="36"/>
      <c r="Z106" s="36"/>
      <c r="AA106" s="36"/>
      <c r="AC106" s="41"/>
      <c r="AD106" s="41"/>
      <c r="AE106" s="41"/>
      <c r="AF106" s="41"/>
      <c r="AG106" s="41"/>
      <c r="AH106" s="41"/>
      <c r="AI106" s="42"/>
    </row>
    <row r="107" spans="2:35" ht="15.75" hidden="1" x14ac:dyDescent="0.25">
      <c r="B107" s="93" t="s">
        <v>250</v>
      </c>
      <c r="C107" s="80"/>
      <c r="D107" s="80"/>
      <c r="E107" s="80"/>
      <c r="F107" s="80"/>
      <c r="G107" s="80"/>
      <c r="H107" s="80"/>
      <c r="I107" s="37"/>
      <c r="J107" s="38"/>
      <c r="K107" s="80" t="s">
        <v>25</v>
      </c>
      <c r="L107" s="80"/>
      <c r="M107" s="80"/>
      <c r="N107" s="80"/>
      <c r="O107" s="80"/>
      <c r="P107" s="80"/>
      <c r="Q107" s="80"/>
      <c r="R107" s="39"/>
      <c r="S107" s="30"/>
      <c r="T107" s="146">
        <f t="shared" si="3"/>
        <v>0</v>
      </c>
      <c r="U107" s="36"/>
      <c r="V107" s="36"/>
      <c r="W107" s="36"/>
      <c r="X107" s="36"/>
      <c r="Y107" s="36"/>
      <c r="Z107" s="36"/>
      <c r="AA107" s="36"/>
      <c r="AC107" s="41"/>
      <c r="AD107" s="41"/>
      <c r="AE107" s="41"/>
      <c r="AF107" s="41"/>
      <c r="AG107" s="41"/>
      <c r="AH107" s="41"/>
      <c r="AI107" s="42"/>
    </row>
    <row r="108" spans="2:35" ht="15.75" hidden="1" x14ac:dyDescent="0.25">
      <c r="B108" s="93" t="s">
        <v>251</v>
      </c>
      <c r="C108" s="80"/>
      <c r="D108" s="80"/>
      <c r="E108" s="80"/>
      <c r="F108" s="80"/>
      <c r="G108" s="80"/>
      <c r="H108" s="80"/>
      <c r="I108" s="37"/>
      <c r="J108" s="38"/>
      <c r="K108" s="80" t="s">
        <v>25</v>
      </c>
      <c r="L108" s="80"/>
      <c r="M108" s="80"/>
      <c r="N108" s="80"/>
      <c r="O108" s="80"/>
      <c r="P108" s="80"/>
      <c r="Q108" s="80"/>
      <c r="R108" s="39"/>
      <c r="S108" s="30"/>
      <c r="T108" s="146">
        <f t="shared" si="3"/>
        <v>0</v>
      </c>
      <c r="U108" s="36"/>
      <c r="V108" s="36"/>
      <c r="W108" s="36"/>
      <c r="X108" s="36"/>
      <c r="Y108" s="36"/>
      <c r="Z108" s="36"/>
      <c r="AA108" s="36"/>
      <c r="AC108" s="41"/>
      <c r="AD108" s="41"/>
      <c r="AE108" s="41"/>
      <c r="AF108" s="41"/>
      <c r="AG108" s="41"/>
      <c r="AH108" s="41"/>
      <c r="AI108" s="42"/>
    </row>
    <row r="109" spans="2:35" ht="15.75" hidden="1" x14ac:dyDescent="0.25">
      <c r="B109" s="93" t="s">
        <v>252</v>
      </c>
      <c r="C109" s="80"/>
      <c r="D109" s="80"/>
      <c r="E109" s="80"/>
      <c r="F109" s="80"/>
      <c r="G109" s="80"/>
      <c r="H109" s="80"/>
      <c r="I109" s="37"/>
      <c r="J109" s="38"/>
      <c r="K109" s="80" t="s">
        <v>25</v>
      </c>
      <c r="L109" s="80"/>
      <c r="M109" s="80"/>
      <c r="N109" s="80"/>
      <c r="O109" s="80"/>
      <c r="P109" s="80"/>
      <c r="Q109" s="80"/>
      <c r="R109" s="39"/>
      <c r="S109" s="30"/>
      <c r="T109" s="146">
        <f t="shared" si="3"/>
        <v>0</v>
      </c>
      <c r="U109" s="36"/>
      <c r="V109" s="36"/>
      <c r="W109" s="36"/>
      <c r="X109" s="36"/>
      <c r="Y109" s="36"/>
      <c r="Z109" s="36"/>
      <c r="AA109" s="36"/>
      <c r="AC109" s="41"/>
      <c r="AD109" s="41"/>
      <c r="AE109" s="41"/>
      <c r="AF109" s="41"/>
      <c r="AG109" s="41"/>
      <c r="AH109" s="41"/>
      <c r="AI109" s="42"/>
    </row>
    <row r="110" spans="2:35" ht="15.75" hidden="1" x14ac:dyDescent="0.25">
      <c r="B110" s="93" t="s">
        <v>253</v>
      </c>
      <c r="C110" s="80"/>
      <c r="D110" s="80"/>
      <c r="E110" s="80"/>
      <c r="F110" s="80"/>
      <c r="G110" s="80"/>
      <c r="H110" s="80"/>
      <c r="I110" s="37"/>
      <c r="J110" s="38"/>
      <c r="K110" s="80" t="s">
        <v>25</v>
      </c>
      <c r="L110" s="80"/>
      <c r="M110" s="80"/>
      <c r="N110" s="80"/>
      <c r="O110" s="80"/>
      <c r="P110" s="80"/>
      <c r="Q110" s="80"/>
      <c r="R110" s="39"/>
      <c r="S110" s="30"/>
      <c r="T110" s="146">
        <f t="shared" si="3"/>
        <v>0</v>
      </c>
      <c r="U110" s="36"/>
      <c r="V110" s="36"/>
      <c r="W110" s="36"/>
      <c r="X110" s="36"/>
      <c r="Y110" s="36"/>
      <c r="Z110" s="36"/>
      <c r="AA110" s="36"/>
      <c r="AC110" s="41"/>
      <c r="AD110" s="41"/>
      <c r="AE110" s="41"/>
      <c r="AF110" s="41"/>
      <c r="AG110" s="41"/>
      <c r="AH110" s="41"/>
      <c r="AI110" s="42"/>
    </row>
    <row r="111" spans="2:35" ht="15.75" hidden="1" x14ac:dyDescent="0.25">
      <c r="B111" s="93" t="s">
        <v>254</v>
      </c>
      <c r="C111" s="80"/>
      <c r="D111" s="80"/>
      <c r="E111" s="80"/>
      <c r="F111" s="80"/>
      <c r="G111" s="80"/>
      <c r="H111" s="80"/>
      <c r="I111" s="37"/>
      <c r="J111" s="38"/>
      <c r="K111" s="80" t="s">
        <v>25</v>
      </c>
      <c r="L111" s="80"/>
      <c r="M111" s="80"/>
      <c r="N111" s="80"/>
      <c r="O111" s="80"/>
      <c r="P111" s="80"/>
      <c r="Q111" s="80"/>
      <c r="R111" s="39"/>
      <c r="S111" s="30"/>
      <c r="T111" s="146">
        <f t="shared" si="3"/>
        <v>0</v>
      </c>
      <c r="U111" s="36"/>
      <c r="V111" s="36"/>
      <c r="W111" s="36"/>
      <c r="X111" s="36"/>
      <c r="Y111" s="36"/>
      <c r="Z111" s="36"/>
      <c r="AA111" s="36"/>
      <c r="AC111" s="41"/>
      <c r="AD111" s="41"/>
      <c r="AE111" s="41"/>
      <c r="AF111" s="41"/>
      <c r="AG111" s="41"/>
      <c r="AH111" s="41"/>
      <c r="AI111" s="42"/>
    </row>
    <row r="112" spans="2:35" ht="15.75" hidden="1" x14ac:dyDescent="0.25">
      <c r="B112" s="93" t="s">
        <v>255</v>
      </c>
      <c r="C112" s="80"/>
      <c r="D112" s="80"/>
      <c r="E112" s="80"/>
      <c r="F112" s="80"/>
      <c r="G112" s="80"/>
      <c r="H112" s="80"/>
      <c r="I112" s="37"/>
      <c r="J112" s="38"/>
      <c r="K112" s="80" t="s">
        <v>25</v>
      </c>
      <c r="L112" s="80"/>
      <c r="M112" s="80"/>
      <c r="N112" s="80"/>
      <c r="O112" s="80"/>
      <c r="P112" s="80"/>
      <c r="Q112" s="80"/>
      <c r="R112" s="39"/>
      <c r="S112" s="30"/>
      <c r="T112" s="146">
        <f t="shared" si="3"/>
        <v>0</v>
      </c>
      <c r="U112" s="36"/>
      <c r="V112" s="36"/>
      <c r="W112" s="36"/>
      <c r="X112" s="36"/>
      <c r="Y112" s="36"/>
      <c r="Z112" s="36"/>
      <c r="AA112" s="36"/>
      <c r="AC112" s="41"/>
      <c r="AD112" s="41"/>
      <c r="AE112" s="41"/>
      <c r="AF112" s="41"/>
      <c r="AG112" s="41"/>
      <c r="AH112" s="41"/>
      <c r="AI112" s="42"/>
    </row>
    <row r="113" spans="2:35" ht="15.75" hidden="1" x14ac:dyDescent="0.25">
      <c r="B113" s="43" t="s">
        <v>256</v>
      </c>
      <c r="C113" s="80"/>
      <c r="D113" s="80"/>
      <c r="E113" s="80"/>
      <c r="F113" s="80"/>
      <c r="G113" s="80"/>
      <c r="H113" s="80"/>
      <c r="I113" s="37"/>
      <c r="J113" s="38"/>
      <c r="K113" s="80" t="s">
        <v>24</v>
      </c>
      <c r="L113" s="80"/>
      <c r="M113" s="80"/>
      <c r="N113" s="80"/>
      <c r="O113" s="80"/>
      <c r="P113" s="80"/>
      <c r="Q113" s="80"/>
      <c r="R113" s="39"/>
      <c r="S113" s="30"/>
      <c r="T113" s="146">
        <f t="shared" si="3"/>
        <v>0</v>
      </c>
      <c r="U113" s="36"/>
      <c r="V113" s="36"/>
      <c r="W113" s="36"/>
      <c r="X113" s="36"/>
      <c r="Y113" s="36"/>
      <c r="Z113" s="36"/>
      <c r="AA113" s="36"/>
      <c r="AC113" s="41"/>
      <c r="AD113" s="41"/>
      <c r="AE113" s="41"/>
      <c r="AF113" s="41"/>
      <c r="AG113" s="41"/>
      <c r="AH113" s="41"/>
      <c r="AI113" s="42"/>
    </row>
    <row r="114" spans="2:35" ht="15.75" hidden="1" x14ac:dyDescent="0.25">
      <c r="B114" s="43" t="s">
        <v>257</v>
      </c>
      <c r="C114" s="80"/>
      <c r="D114" s="80"/>
      <c r="E114" s="80"/>
      <c r="F114" s="80"/>
      <c r="G114" s="80"/>
      <c r="H114" s="80"/>
      <c r="I114" s="37"/>
      <c r="J114" s="38"/>
      <c r="K114" s="80" t="s">
        <v>24</v>
      </c>
      <c r="L114" s="80"/>
      <c r="M114" s="80"/>
      <c r="N114" s="80"/>
      <c r="O114" s="80"/>
      <c r="P114" s="80"/>
      <c r="Q114" s="80"/>
      <c r="R114" s="39"/>
      <c r="S114" s="30"/>
      <c r="T114" s="146">
        <f t="shared" si="3"/>
        <v>0</v>
      </c>
      <c r="U114" s="36"/>
      <c r="V114" s="36"/>
      <c r="W114" s="36"/>
      <c r="X114" s="36"/>
      <c r="Y114" s="36"/>
      <c r="Z114" s="36"/>
      <c r="AA114" s="36"/>
      <c r="AC114" s="41"/>
      <c r="AD114" s="41"/>
      <c r="AE114" s="41"/>
      <c r="AF114" s="41"/>
      <c r="AG114" s="41"/>
      <c r="AH114" s="41"/>
      <c r="AI114" s="42"/>
    </row>
    <row r="115" spans="2:35" ht="15.75" hidden="1" x14ac:dyDescent="0.25">
      <c r="B115" s="43" t="s">
        <v>258</v>
      </c>
      <c r="C115" s="80"/>
      <c r="D115" s="80"/>
      <c r="E115" s="80"/>
      <c r="F115" s="80"/>
      <c r="G115" s="80"/>
      <c r="H115" s="80"/>
      <c r="I115" s="37"/>
      <c r="J115" s="38"/>
      <c r="K115" s="80" t="s">
        <v>32</v>
      </c>
      <c r="L115" s="80"/>
      <c r="M115" s="80"/>
      <c r="N115" s="80"/>
      <c r="O115" s="80"/>
      <c r="P115" s="80"/>
      <c r="Q115" s="80"/>
      <c r="R115" s="39"/>
      <c r="S115" s="30"/>
      <c r="T115" s="146">
        <f t="shared" si="3"/>
        <v>0</v>
      </c>
      <c r="U115" s="36"/>
      <c r="V115" s="36"/>
      <c r="W115" s="36"/>
      <c r="X115" s="36"/>
      <c r="Y115" s="36"/>
      <c r="Z115" s="36"/>
      <c r="AA115" s="36"/>
      <c r="AC115" s="41"/>
      <c r="AD115" s="41"/>
      <c r="AE115" s="41"/>
      <c r="AF115" s="41"/>
      <c r="AG115" s="41"/>
      <c r="AH115" s="41"/>
      <c r="AI115" s="42"/>
    </row>
    <row r="116" spans="2:35" ht="15.75" hidden="1" x14ac:dyDescent="0.25">
      <c r="B116" s="43" t="s">
        <v>259</v>
      </c>
      <c r="C116" s="80"/>
      <c r="D116" s="80"/>
      <c r="E116" s="80"/>
      <c r="F116" s="80"/>
      <c r="G116" s="80"/>
      <c r="H116" s="80"/>
      <c r="I116" s="37"/>
      <c r="J116" s="38"/>
      <c r="K116" s="80" t="s">
        <v>33</v>
      </c>
      <c r="L116" s="80"/>
      <c r="M116" s="80"/>
      <c r="N116" s="80"/>
      <c r="O116" s="80"/>
      <c r="P116" s="80"/>
      <c r="Q116" s="80"/>
      <c r="R116" s="39"/>
      <c r="S116" s="30"/>
      <c r="T116" s="146">
        <f t="shared" si="3"/>
        <v>0</v>
      </c>
      <c r="U116" s="36"/>
      <c r="V116" s="36"/>
      <c r="W116" s="36"/>
      <c r="X116" s="36"/>
      <c r="Y116" s="36"/>
      <c r="Z116" s="36"/>
      <c r="AA116" s="36"/>
      <c r="AC116" s="41"/>
      <c r="AD116" s="41"/>
      <c r="AE116" s="41"/>
      <c r="AF116" s="41"/>
      <c r="AG116" s="41"/>
      <c r="AH116" s="41"/>
      <c r="AI116" s="42"/>
    </row>
    <row r="117" spans="2:35" ht="15.75" hidden="1" x14ac:dyDescent="0.25">
      <c r="B117" s="43" t="s">
        <v>260</v>
      </c>
      <c r="C117" s="80"/>
      <c r="D117" s="80"/>
      <c r="E117" s="80"/>
      <c r="F117" s="80"/>
      <c r="G117" s="80"/>
      <c r="H117" s="80"/>
      <c r="I117" s="37"/>
      <c r="J117" s="38"/>
      <c r="K117" s="80" t="s">
        <v>32</v>
      </c>
      <c r="L117" s="80"/>
      <c r="M117" s="80"/>
      <c r="N117" s="80"/>
      <c r="O117" s="80"/>
      <c r="P117" s="80"/>
      <c r="Q117" s="80"/>
      <c r="R117" s="39"/>
      <c r="S117" s="30"/>
      <c r="T117" s="146">
        <f t="shared" si="3"/>
        <v>0</v>
      </c>
      <c r="U117" s="36"/>
      <c r="V117" s="36"/>
      <c r="W117" s="36"/>
      <c r="X117" s="36"/>
      <c r="Y117" s="36"/>
      <c r="Z117" s="36"/>
      <c r="AA117" s="36"/>
      <c r="AC117" s="41"/>
      <c r="AD117" s="41"/>
      <c r="AE117" s="41"/>
      <c r="AF117" s="41"/>
      <c r="AG117" s="41"/>
      <c r="AH117" s="41"/>
      <c r="AI117" s="42"/>
    </row>
    <row r="118" spans="2:35" ht="15.75" hidden="1" x14ac:dyDescent="0.25">
      <c r="B118" s="80" t="s">
        <v>203</v>
      </c>
      <c r="C118" s="80"/>
      <c r="D118" s="80"/>
      <c r="E118" s="80"/>
      <c r="F118" s="80"/>
      <c r="G118" s="80"/>
      <c r="H118" s="80"/>
      <c r="I118" s="37"/>
      <c r="J118" s="38"/>
      <c r="K118" s="80" t="s">
        <v>24</v>
      </c>
      <c r="L118" s="80"/>
      <c r="M118" s="80"/>
      <c r="N118" s="80"/>
      <c r="O118" s="80"/>
      <c r="P118" s="80"/>
      <c r="Q118" s="80"/>
      <c r="R118" s="39"/>
      <c r="S118" s="30"/>
      <c r="T118" s="146">
        <f t="shared" si="3"/>
        <v>0</v>
      </c>
      <c r="U118" s="36"/>
      <c r="V118" s="36"/>
      <c r="W118" s="36"/>
      <c r="X118" s="36"/>
      <c r="Y118" s="36"/>
      <c r="Z118" s="36"/>
      <c r="AA118" s="36"/>
      <c r="AC118" s="41"/>
      <c r="AD118" s="41"/>
      <c r="AE118" s="41"/>
      <c r="AF118" s="41"/>
      <c r="AG118" s="41"/>
      <c r="AH118" s="41"/>
      <c r="AI118" s="42"/>
    </row>
    <row r="119" spans="2:35" ht="15.75" hidden="1" x14ac:dyDescent="0.25">
      <c r="B119" s="43"/>
      <c r="C119" s="43"/>
      <c r="D119" s="43"/>
      <c r="E119" s="43"/>
      <c r="F119" s="43"/>
      <c r="G119" s="43"/>
      <c r="H119" s="43"/>
      <c r="I119" s="43"/>
      <c r="J119" s="38"/>
      <c r="K119" s="38"/>
      <c r="L119" s="38"/>
      <c r="M119" s="38"/>
      <c r="N119" s="38"/>
      <c r="O119" s="38"/>
      <c r="P119" s="38"/>
      <c r="Q119" s="38"/>
      <c r="R119" s="39"/>
      <c r="S119" s="30"/>
      <c r="T119" s="146">
        <f t="shared" si="3"/>
        <v>0</v>
      </c>
      <c r="U119" s="36"/>
      <c r="V119" s="36"/>
      <c r="W119" s="36"/>
      <c r="X119" s="36"/>
      <c r="Y119" s="36"/>
      <c r="Z119" s="36"/>
      <c r="AA119" s="36"/>
    </row>
    <row r="120" spans="2:35" ht="15.75" hidden="1" x14ac:dyDescent="0.25">
      <c r="B120" s="43"/>
      <c r="C120" s="43"/>
      <c r="D120" s="44"/>
      <c r="E120" s="44"/>
      <c r="F120" s="37"/>
      <c r="G120" s="37"/>
      <c r="H120" s="37"/>
      <c r="I120" s="37"/>
      <c r="J120" s="38"/>
      <c r="K120" s="38"/>
      <c r="L120" s="38"/>
      <c r="M120" s="38"/>
      <c r="N120" s="38"/>
      <c r="O120" s="38"/>
      <c r="P120" s="38"/>
      <c r="Q120" s="38"/>
      <c r="R120" s="30"/>
      <c r="S120" s="30"/>
      <c r="T120" s="146">
        <f t="shared" si="3"/>
        <v>0</v>
      </c>
      <c r="U120" s="36"/>
      <c r="V120" s="36"/>
      <c r="W120" s="36"/>
      <c r="X120" s="36"/>
      <c r="Y120" s="36"/>
      <c r="Z120" s="36"/>
      <c r="AA120" s="36"/>
    </row>
    <row r="121" spans="2:35" ht="15.75" hidden="1" x14ac:dyDescent="0.25">
      <c r="B121" s="43"/>
      <c r="C121" s="43"/>
      <c r="D121" s="44"/>
      <c r="E121" s="44"/>
      <c r="F121" s="44"/>
      <c r="G121" s="44"/>
      <c r="H121" s="44"/>
      <c r="I121" s="44"/>
      <c r="J121" s="38"/>
      <c r="K121" s="38"/>
      <c r="L121" s="38"/>
      <c r="M121" s="38"/>
      <c r="N121" s="38"/>
      <c r="O121" s="38"/>
      <c r="P121" s="38"/>
      <c r="Q121" s="38"/>
      <c r="R121" s="30"/>
      <c r="S121" s="45"/>
      <c r="T121" s="146">
        <f t="shared" si="3"/>
        <v>0</v>
      </c>
      <c r="U121" s="32"/>
      <c r="V121" s="32"/>
      <c r="W121" s="32"/>
      <c r="X121" s="32"/>
      <c r="Y121" s="32"/>
      <c r="Z121" s="32"/>
      <c r="AA121" s="32"/>
    </row>
    <row r="122" spans="2:35" ht="15.75" hidden="1" x14ac:dyDescent="0.25">
      <c r="B122" s="43"/>
      <c r="C122" s="43"/>
      <c r="D122" s="44"/>
      <c r="E122" s="42"/>
      <c r="F122" s="44"/>
      <c r="G122" s="44"/>
      <c r="H122" s="44"/>
      <c r="I122" s="44"/>
      <c r="J122" s="38"/>
      <c r="K122" s="38"/>
      <c r="L122" s="38"/>
      <c r="M122" s="38"/>
      <c r="N122" s="38"/>
      <c r="O122" s="38"/>
      <c r="P122" s="38"/>
      <c r="Q122" s="38"/>
      <c r="R122" s="39"/>
      <c r="S122" s="45"/>
      <c r="T122" s="146">
        <f t="shared" si="3"/>
        <v>0</v>
      </c>
      <c r="U122" s="32"/>
      <c r="V122" s="32"/>
      <c r="W122" s="32"/>
      <c r="X122" s="32"/>
      <c r="Y122" s="32"/>
      <c r="Z122" s="32"/>
      <c r="AA122" s="32"/>
      <c r="AC122" s="6"/>
      <c r="AD122" s="6"/>
      <c r="AE122" s="6"/>
      <c r="AF122" s="6"/>
      <c r="AG122" s="6"/>
      <c r="AH122" s="6"/>
      <c r="AI122" s="10"/>
    </row>
    <row r="123" spans="2:35" ht="15.75" hidden="1" x14ac:dyDescent="0.25">
      <c r="B123" s="43"/>
      <c r="C123" s="43"/>
      <c r="D123" s="37"/>
      <c r="E123" s="44"/>
      <c r="F123" s="37"/>
      <c r="G123" s="37"/>
      <c r="H123" s="37"/>
      <c r="I123" s="37"/>
      <c r="J123" s="44"/>
      <c r="K123" s="44"/>
      <c r="L123" s="44"/>
      <c r="M123" s="44"/>
      <c r="N123" s="44"/>
      <c r="O123" s="44"/>
      <c r="P123" s="44"/>
      <c r="Q123" s="44"/>
      <c r="R123" s="45"/>
      <c r="S123" s="45"/>
      <c r="T123" s="146">
        <f t="shared" si="3"/>
        <v>0</v>
      </c>
      <c r="U123" s="32"/>
      <c r="V123" s="32"/>
      <c r="W123" s="32"/>
      <c r="X123" s="32"/>
      <c r="Y123" s="32"/>
      <c r="Z123" s="32"/>
      <c r="AA123" s="32"/>
      <c r="AC123" s="6"/>
      <c r="AD123" s="6"/>
      <c r="AE123" s="6"/>
      <c r="AF123" s="6"/>
      <c r="AG123" s="6"/>
      <c r="AH123" s="6"/>
      <c r="AI123" s="10"/>
    </row>
    <row r="124" spans="2:35" ht="15.75" hidden="1" x14ac:dyDescent="0.25">
      <c r="B124" s="43"/>
      <c r="C124" s="43"/>
      <c r="D124" s="44"/>
      <c r="E124" s="42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7"/>
      <c r="S124" s="47"/>
      <c r="T124" s="146">
        <f t="shared" si="3"/>
        <v>0</v>
      </c>
      <c r="U124" s="48"/>
      <c r="V124" s="48"/>
      <c r="W124" s="48"/>
      <c r="X124" s="48"/>
      <c r="Y124" s="48"/>
      <c r="Z124" s="48"/>
      <c r="AA124" s="48"/>
      <c r="AC124" s="49"/>
      <c r="AD124" s="49"/>
      <c r="AE124" s="49"/>
      <c r="AF124" s="49"/>
      <c r="AG124" s="49"/>
      <c r="AH124" s="49"/>
      <c r="AI124" s="49"/>
    </row>
    <row r="125" spans="2:35" ht="15" hidden="1" x14ac:dyDescent="0.2">
      <c r="B125" s="49" t="s">
        <v>13</v>
      </c>
      <c r="C125" s="4"/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</row>
    <row r="126" spans="2:35" ht="15" hidden="1" x14ac:dyDescent="0.2">
      <c r="B126" s="49" t="s">
        <v>14</v>
      </c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</row>
    <row r="127" spans="2:35" ht="15" x14ac:dyDescent="0.2"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</row>
  </sheetData>
  <sheetProtection algorithmName="SHA-512" hashValue="9CaAbGweXYxz6zI2GeSdi6VKDpE25iVv6oJ3R2hP9ppCGiuOZB69B946byELrZ3s2EbpDwUXY+8qL2PnQt4X4A==" saltValue="zx1DCqMU37dsS5SESZFW7w==" spinCount="100000" sheet="1" objects="1" scenarios="1" formatCells="0" formatColumns="0" formatRows="0" sort="0" autoFilter="0"/>
  <mergeCells count="33">
    <mergeCell ref="R20:S20"/>
    <mergeCell ref="AH14:AI14"/>
    <mergeCell ref="L20:M20"/>
    <mergeCell ref="AF11:AG11"/>
    <mergeCell ref="D10:H10"/>
    <mergeCell ref="J20:K20"/>
    <mergeCell ref="AF13:AG13"/>
    <mergeCell ref="AF14:AG14"/>
    <mergeCell ref="AF10:AG10"/>
    <mergeCell ref="AF20:AG20"/>
    <mergeCell ref="B85:AI85"/>
    <mergeCell ref="D83:F83"/>
    <mergeCell ref="B70:AI70"/>
    <mergeCell ref="D84:F84"/>
    <mergeCell ref="B78:D78"/>
    <mergeCell ref="J71:K71"/>
    <mergeCell ref="R71:S71"/>
    <mergeCell ref="AF71:AG71"/>
    <mergeCell ref="L71:M71"/>
    <mergeCell ref="B80:AH81"/>
    <mergeCell ref="H8:P8"/>
    <mergeCell ref="B19:AI19"/>
    <mergeCell ref="H14:T14"/>
    <mergeCell ref="H15:AI15"/>
    <mergeCell ref="B10:C10"/>
    <mergeCell ref="H16:AI16"/>
    <mergeCell ref="H17:AI17"/>
    <mergeCell ref="J9:K9"/>
    <mergeCell ref="AH10:AI10"/>
    <mergeCell ref="AH11:AI11"/>
    <mergeCell ref="AH12:AI12"/>
    <mergeCell ref="AF12:AG12"/>
    <mergeCell ref="AH13:AI13"/>
  </mergeCells>
  <phoneticPr fontId="2" type="noConversion"/>
  <conditionalFormatting sqref="J21:J65">
    <cfRule type="expression" priority="28">
      <formula>IF($K$21:$K$65&gt;38,$K$21:$K$65&lt;35)</formula>
    </cfRule>
  </conditionalFormatting>
  <conditionalFormatting sqref="J72:J76">
    <cfRule type="expression" priority="3">
      <formula>IF($K$21:$K$65&gt;38,$K$21:$K$65&lt;35)</formula>
    </cfRule>
  </conditionalFormatting>
  <conditionalFormatting sqref="K21:L65">
    <cfRule type="expression" dxfId="5" priority="27">
      <formula>AND($G$21&gt;38,$G$21&lt;35)</formula>
    </cfRule>
  </conditionalFormatting>
  <conditionalFormatting sqref="K72:L76">
    <cfRule type="expression" dxfId="4" priority="2">
      <formula>AND($G$21&gt;38,$G$21&lt;35)</formula>
    </cfRule>
  </conditionalFormatting>
  <conditionalFormatting sqref="R21:R65">
    <cfRule type="expression" dxfId="3" priority="1">
      <formula>AND($G$21&gt;38,$G$21&lt;35)</formula>
    </cfRule>
  </conditionalFormatting>
  <conditionalFormatting sqref="R72:R76">
    <cfRule type="expression" dxfId="2" priority="5">
      <formula>AND($G$21&gt;38,$G$21&lt;35)</formula>
    </cfRule>
  </conditionalFormatting>
  <dataValidations xWindow="1039" yWindow="579" count="3">
    <dataValidation allowBlank="1" showInputMessage="1" showErrorMessage="1" promptTitle="Цвет краски" prompt="Укажите цвет краски" sqref="S72:S76 S21:S65" xr:uid="{00000000-0002-0000-0000-000000000000}"/>
    <dataValidation type="list" allowBlank="1" showInputMessage="1" showErrorMessage="1" sqref="J21:J65 J72:J76" xr:uid="{00000000-0002-0000-0000-000001000000}">
      <formula1>C21:D21</formula1>
    </dataValidation>
    <dataValidation type="list" allowBlank="1" showInputMessage="1" showErrorMessage="1" sqref="AE21:AE65 AE72:AE76" xr:uid="{00000000-0002-0000-0000-000002000000}">
      <formula1>C21:D21</formula1>
    </dataValidation>
  </dataValidations>
  <hyperlinks>
    <hyperlink ref="AI5" r:id="rId1" xr:uid="{00000000-0004-0000-0000-000000000000}"/>
  </hyperlinks>
  <pageMargins left="0.39370078740157483" right="0.39370078740157483" top="0.31496062992125984" bottom="0.31496062992125984" header="0.39370078740157483" footer="0.39370078740157483"/>
  <pageSetup paperSize="9" scale="50" fitToHeight="0" orientation="landscape" useFirstPageNumber="1" horizontalDpi="300" verticalDpi="300" r:id="rId2"/>
  <headerFooter alignWithMargins="0"/>
  <drawing r:id="rId3"/>
  <extLst>
    <ext xmlns:x14="http://schemas.microsoft.com/office/spreadsheetml/2009/9/main" uri="{CCE6A557-97BC-4b89-ADB6-D9C93CAAB3DF}">
      <x14:dataValidations xmlns:xm="http://schemas.microsoft.com/office/excel/2006/main" xWindow="1039" yWindow="579" count="21">
        <x14:dataValidation type="list" allowBlank="1" showInputMessage="1" showErrorMessage="1" promptTitle="Тип покрытия Rфасадов" prompt="Выберите тип покрытия гнутоклеенных деталей из выпадающего списка" xr:uid="{00000000-0002-0000-0000-000003000000}">
          <x14:formula1>
            <xm:f>Наименования!$M$15:$M$25</xm:f>
          </x14:formula1>
          <xm:sqref>C119:I119</xm:sqref>
        </x14:dataValidation>
        <x14:dataValidation type="list" allowBlank="1" showInputMessage="1" showErrorMessage="1" promptTitle="Тип порытия плоских деталей" prompt="Выберите тип покрытия из выпадающего списка" xr:uid="{00000000-0002-0000-0000-000004000000}">
          <x14:formula1>
            <xm:f>Наименования!$M$4:$M$14</xm:f>
          </x14:formula1>
          <xm:sqref>C87:H118</xm:sqref>
        </x14:dataValidation>
        <x14:dataValidation type="list" allowBlank="1" showInputMessage="1" showErrorMessage="1" xr:uid="{00000000-0002-0000-0000-000005000000}">
          <x14:formula1>
            <xm:f>Наименования!$Q$5:$Q$6</xm:f>
          </x14:formula1>
          <xm:sqref>O76:Q76 O73:Q74</xm:sqref>
        </x14:dataValidation>
        <x14:dataValidation type="list" allowBlank="1" showInputMessage="1" showErrorMessage="1" xr:uid="{00000000-0002-0000-0000-000006000000}">
          <x14:formula1>
            <xm:f>Наименования!$E$5:$E$8</xm:f>
          </x14:formula1>
          <xm:sqref>I21:I65 I72:I76</xm:sqref>
        </x14:dataValidation>
        <x14:dataValidation type="list" allowBlank="1" showInputMessage="1" showErrorMessage="1" xr:uid="{00000000-0002-0000-0000-000007000000}">
          <x14:formula1>
            <xm:f>Наименования!$F$5:$F$8</xm:f>
          </x14:formula1>
          <xm:sqref>AF21:AF65 AF72:AF76</xm:sqref>
        </x14:dataValidation>
        <x14:dataValidation type="list" allowBlank="1" showInputMessage="1" showErrorMessage="1" xr:uid="{00000000-0002-0000-0000-000008000000}">
          <x14:formula1>
            <xm:f>Наименования!$M$32:$M$78</xm:f>
          </x14:formula1>
          <xm:sqref>G21:G65 G73:G76</xm:sqref>
        </x14:dataValidation>
        <x14:dataValidation type="list" allowBlank="1" showInputMessage="1" showErrorMessage="1" promptTitle="Фрезерование кромки по периметру" prompt="Выберите из выпадающего списка тип фрезерования по периметру детали" xr:uid="{00000000-0002-0000-0000-00000B000000}">
          <x14:formula1>
            <xm:f>Наименования!$O$4:$O$10</xm:f>
          </x14:formula1>
          <xm:sqref>G72</xm:sqref>
        </x14:dataValidation>
        <x14:dataValidation type="list" allowBlank="1" showInputMessage="1" showErrorMessage="1" xr:uid="{00000000-0002-0000-0000-00000C000000}">
          <x14:formula1>
            <xm:f>Наименования!$K$35:$K$37</xm:f>
          </x14:formula1>
          <xm:sqref>O21:Q21 O75:Q75 O53:Q53 O33:Q33 O26:Q26 O45:Q45 O72:Q72 O23:Q23</xm:sqref>
        </x14:dataValidation>
        <x14:dataValidation type="list" allowBlank="1" showInputMessage="1" showErrorMessage="1" xr:uid="{00000000-0002-0000-0000-00000D000000}">
          <x14:formula1>
            <xm:f>Лист1!$C$5:$C$11</xm:f>
          </x14:formula1>
          <xm:sqref>F72:F74</xm:sqref>
        </x14:dataValidation>
        <x14:dataValidation type="list" allowBlank="1" showInputMessage="1" showErrorMessage="1" promptTitle="Тыльная сторона" prompt="Тип покрытия на тыльной стороне детали" xr:uid="{00000000-0002-0000-0000-00000F000000}">
          <x14:formula1>
            <xm:f>Лист1!$K$5:$K$8</xm:f>
          </x14:formula1>
          <xm:sqref>AC72:AC76 AC21:AC65</xm:sqref>
        </x14:dataValidation>
        <x14:dataValidation type="list" allowBlank="1" showInputMessage="1" showErrorMessage="1" xr:uid="{00000000-0002-0000-0000-000010000000}">
          <x14:formula1>
            <xm:f>Лист1!$C$9:$C$10</xm:f>
          </x14:formula1>
          <xm:sqref>F75:F76</xm:sqref>
        </x14:dataValidation>
        <x14:dataValidation type="list" allowBlank="1" showInputMessage="1" showErrorMessage="1" xr:uid="{00000000-0002-0000-0000-000011000000}">
          <x14:formula1>
            <xm:f>Лист1!$S$5:$S$8</xm:f>
          </x14:formula1>
          <xm:sqref>AG21:AG65 AG72:AG76</xm:sqref>
        </x14:dataValidation>
        <x14:dataValidation type="list" allowBlank="1" showInputMessage="1" showErrorMessage="1" xr:uid="{00000000-0002-0000-0000-000012000000}">
          <x14:formula1>
            <xm:f>Лист1!$G$5:$G$10</xm:f>
          </x14:formula1>
          <xm:sqref>L21:L65 R72:R76 L72:L76 R21:R65</xm:sqref>
        </x14:dataValidation>
        <x14:dataValidation type="list" allowBlank="1" showInputMessage="1" showErrorMessage="1" promptTitle="Фрезерование кромки по периметру" prompt="Выберите из выпадающего списка тип фрезерования по периметру детали" xr:uid="{00000000-0002-0000-0000-000014000000}">
          <x14:formula1>
            <xm:f>Лист1!$N$4:$N$11</xm:f>
          </x14:formula1>
          <xm:sqref>H72:H76 H21:H65</xm:sqref>
        </x14:dataValidation>
        <x14:dataValidation type="list" allowBlank="1" showInputMessage="1" showErrorMessage="1" xr:uid="{00000000-0002-0000-0000-000016000000}">
          <x14:formula1>
            <xm:f>Лист1!$H$5</xm:f>
          </x14:formula1>
          <xm:sqref>K72:K76</xm:sqref>
        </x14:dataValidation>
        <x14:dataValidation type="list" allowBlank="1" showInputMessage="1" showErrorMessage="1" xr:uid="{00000000-0002-0000-0000-000009000000}">
          <x14:formula1>
            <xm:f>Наименования!$K$5:$K$15</xm:f>
          </x14:formula1>
          <xm:sqref>U76:V76 U72:V74 X72:AA76</xm:sqref>
        </x14:dataValidation>
        <x14:dataValidation type="list" allowBlank="1" showInputMessage="1" showErrorMessage="1" xr:uid="{00000000-0002-0000-0000-00000A000000}">
          <x14:formula1>
            <xm:f>Наименования!$K$5:$K$16</xm:f>
          </x14:formula1>
          <xm:sqref>U21:V65 U75:V75</xm:sqref>
        </x14:dataValidation>
        <x14:dataValidation type="list" allowBlank="1" showInputMessage="1" showErrorMessage="1" xr:uid="{00000000-0002-0000-0000-000015000000}">
          <x14:formula1>
            <xm:f>Лист1!$K$9:$K$21</xm:f>
          </x14:formula1>
          <xm:sqref>T21:T65 T72:T76</xm:sqref>
        </x14:dataValidation>
        <x14:dataValidation type="list" allowBlank="1" showInputMessage="1" showErrorMessage="1" xr:uid="{9BE1CD9D-7DEA-4220-A044-847D0A6E52E0}">
          <x14:formula1>
            <xm:f>Лист1!$H$5:$H$37</xm:f>
          </x14:formula1>
          <xm:sqref>K21:K65</xm:sqref>
        </x14:dataValidation>
        <x14:dataValidation type="list" allowBlank="1" showInputMessage="1" showErrorMessage="1" promptTitle="Лицевая сторона" prompt="Тип покрытия на лицевой стороне детали" xr:uid="{00000000-0002-0000-0000-00000E000000}">
          <x14:formula1>
            <xm:f>Наименования!$L$5:$L$7</xm:f>
          </x14:formula1>
          <xm:sqref>AB72:AB76 AB21:AB65</xm:sqref>
        </x14:dataValidation>
        <x14:dataValidation type="list" allowBlank="1" showInputMessage="1" showErrorMessage="1" xr:uid="{78A8DBF2-B891-4484-A2F5-C8DD24FCBF94}">
          <x14:formula1>
            <xm:f>Лист1!$C$5:$C$12</xm:f>
          </x14:formula1>
          <xm:sqref>F21:F65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289"/>
  <sheetViews>
    <sheetView topLeftCell="A126" zoomScale="70" zoomScaleNormal="70" workbookViewId="0">
      <selection activeCell="C85" sqref="C85:C173"/>
    </sheetView>
  </sheetViews>
  <sheetFormatPr defaultColWidth="11.5703125" defaultRowHeight="12.75" x14ac:dyDescent="0.2"/>
  <cols>
    <col min="1" max="1" width="2.42578125" style="153" customWidth="1"/>
    <col min="2" max="2" width="4.7109375" style="153" customWidth="1"/>
    <col min="3" max="4" width="15.42578125" style="153" customWidth="1"/>
    <col min="5" max="5" width="10.7109375" style="153" bestFit="1" customWidth="1"/>
    <col min="6" max="6" width="11.5703125" style="153" bestFit="1" customWidth="1"/>
    <col min="7" max="7" width="8.7109375" style="153" customWidth="1"/>
    <col min="8" max="8" width="24.5703125" style="153" customWidth="1"/>
    <col min="9" max="9" width="9.42578125" style="153" bestFit="1" customWidth="1"/>
    <col min="10" max="10" width="12.85546875" style="153" customWidth="1"/>
    <col min="11" max="11" width="11" style="153" customWidth="1"/>
    <col min="12" max="13" width="12.5703125" style="153" customWidth="1"/>
    <col min="14" max="14" width="11.7109375" style="153" customWidth="1"/>
    <col min="15" max="16" width="11.85546875" style="153" customWidth="1"/>
    <col min="17" max="17" width="17.42578125" style="153" bestFit="1" customWidth="1"/>
    <col min="18" max="19" width="9.85546875" style="153" customWidth="1"/>
    <col min="20" max="20" width="14.42578125" style="153" bestFit="1" customWidth="1"/>
    <col min="21" max="21" width="16.42578125" style="153" bestFit="1" customWidth="1"/>
    <col min="22" max="23" width="16.5703125" style="153" customWidth="1"/>
    <col min="24" max="24" width="12.85546875" style="153" customWidth="1"/>
    <col min="25" max="25" width="12.7109375" style="153" customWidth="1"/>
    <col min="26" max="26" width="17.28515625" style="153" bestFit="1" customWidth="1"/>
    <col min="27" max="27" width="14.140625" style="153" customWidth="1"/>
    <col min="28" max="28" width="14.5703125" style="153" bestFit="1" customWidth="1"/>
    <col min="29" max="29" width="12.42578125" style="153" customWidth="1"/>
    <col min="30" max="31" width="10.7109375" style="153" customWidth="1"/>
    <col min="32" max="32" width="11.5703125" style="153" bestFit="1" customWidth="1"/>
    <col min="33" max="33" width="12" style="153" bestFit="1" customWidth="1"/>
    <col min="34" max="35" width="24.140625" style="153" customWidth="1"/>
    <col min="36" max="37" width="12.42578125" style="153" customWidth="1"/>
    <col min="38" max="38" width="3.5703125" style="153" hidden="1" customWidth="1"/>
    <col min="39" max="39" width="11.28515625" style="153" hidden="1" customWidth="1"/>
    <col min="40" max="40" width="13.7109375" style="153" hidden="1" customWidth="1"/>
    <col min="41" max="41" width="9.7109375" style="153" bestFit="1" customWidth="1"/>
    <col min="42" max="42" width="12.28515625" style="153" customWidth="1"/>
    <col min="43" max="43" width="11.5703125" style="153" customWidth="1"/>
    <col min="44" max="44" width="63.5703125" style="153" customWidth="1"/>
    <col min="45" max="46" width="11.5703125" style="153" customWidth="1"/>
    <col min="47" max="47" width="19.140625" style="153" customWidth="1"/>
    <col min="48" max="48" width="18" style="153" customWidth="1"/>
    <col min="49" max="16384" width="11.5703125" style="153"/>
  </cols>
  <sheetData>
    <row r="1" spans="1:44" ht="20.25" x14ac:dyDescent="0.3">
      <c r="B1" s="157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8"/>
      <c r="AB1" s="158"/>
      <c r="AC1" s="158"/>
      <c r="AD1" s="158"/>
      <c r="AE1" s="158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60"/>
    </row>
    <row r="2" spans="1:44" ht="78.75" x14ac:dyDescent="0.3">
      <c r="A2" s="161"/>
      <c r="B2" s="162" t="s">
        <v>3</v>
      </c>
      <c r="C2" s="162" t="s">
        <v>80</v>
      </c>
      <c r="D2" s="162" t="s">
        <v>82</v>
      </c>
      <c r="E2" s="162" t="s">
        <v>81</v>
      </c>
      <c r="F2" s="162" t="s">
        <v>83</v>
      </c>
      <c r="G2" s="162" t="s">
        <v>89</v>
      </c>
      <c r="H2" s="163" t="s">
        <v>308</v>
      </c>
      <c r="I2" s="164" t="s">
        <v>202</v>
      </c>
      <c r="J2" s="302" t="s">
        <v>84</v>
      </c>
      <c r="K2" s="303"/>
      <c r="L2" s="302" t="s">
        <v>300</v>
      </c>
      <c r="M2" s="303"/>
      <c r="N2" s="164" t="s">
        <v>294</v>
      </c>
      <c r="O2" s="165" t="s">
        <v>295</v>
      </c>
      <c r="P2" s="233" t="s">
        <v>300</v>
      </c>
      <c r="Q2" s="166" t="s">
        <v>309</v>
      </c>
      <c r="R2" s="304" t="s">
        <v>85</v>
      </c>
      <c r="S2" s="304"/>
      <c r="T2" s="162" t="s">
        <v>86</v>
      </c>
      <c r="U2" s="167" t="s">
        <v>283</v>
      </c>
      <c r="V2" s="162" t="s">
        <v>90</v>
      </c>
      <c r="W2" s="163" t="s">
        <v>87</v>
      </c>
      <c r="X2" s="164" t="s">
        <v>227</v>
      </c>
      <c r="Y2" s="164" t="s">
        <v>228</v>
      </c>
      <c r="Z2" s="164" t="s">
        <v>261</v>
      </c>
      <c r="AA2" s="163" t="s">
        <v>306</v>
      </c>
      <c r="AB2" s="163" t="s">
        <v>307</v>
      </c>
      <c r="AC2" s="164"/>
      <c r="AD2" s="302" t="s">
        <v>204</v>
      </c>
      <c r="AE2" s="303"/>
      <c r="AF2" s="162" t="s">
        <v>79</v>
      </c>
      <c r="AG2" s="166" t="s">
        <v>88</v>
      </c>
      <c r="AH2" s="168"/>
      <c r="AI2" s="168"/>
      <c r="AJ2" s="168"/>
      <c r="AK2" s="168"/>
      <c r="AL2" s="168"/>
      <c r="AM2" s="168"/>
      <c r="AN2" s="168"/>
      <c r="AO2" s="168"/>
      <c r="AP2" s="168"/>
    </row>
    <row r="3" spans="1:44" ht="18" x14ac:dyDescent="0.2">
      <c r="B3" s="169">
        <v>1</v>
      </c>
      <c r="C3" s="170">
        <f>IF(Бланк!$C21="","",Бланк!$C21/1000)</f>
        <v>1.2</v>
      </c>
      <c r="D3" s="171">
        <f>IF(Бланк!$D21="","",Бланк!$D21/1000)</f>
        <v>1</v>
      </c>
      <c r="E3" s="172">
        <f>IF(Бланк!E21="","",Бланк!E21)</f>
        <v>2</v>
      </c>
      <c r="F3" s="172">
        <f>IF(Бланк!F21="","",Бланк!F21)</f>
        <v>22</v>
      </c>
      <c r="G3" s="172" t="str">
        <f>IF(Бланк!H21="","",Бланк!H21)</f>
        <v/>
      </c>
      <c r="H3" s="172" t="str">
        <f>IF(Бланк!I21="","",Бланк!I21)</f>
        <v/>
      </c>
      <c r="I3" s="173" t="str">
        <f>IF(OR($C3="",$C3=0),"",IF($H3="Пряма з чвертю",(Прайс!$D$39+Прайс!$D$42)*Просчет!$E3,IF(Просчет!$H3="Пряма без чверті",Прайс!$D$39*Просчет!$E3,IF(AND(Просчет!$H3="Шпрос з чвертю",OR($C3&lt;1,$C3=1)),(Прайс!$D$40+Прайс!$D$43)*Просчет!$E3,IF(AND($H3="Шпрос з чвертю",$C3&gt;1),(Прайс!$F$40+Прайс!$D$43)*Просчет!$E3,IF(AND($H3="Шпрос без чверті",OR($C3&lt;1,$C3=1)),Прайс!$D$40*Просчет!$E3,IF(AND($H3="Шпрос без чверті",$C3&gt;1),Прайс!$F$40*Просчет!$E3,"")))))))</f>
        <v/>
      </c>
      <c r="J3" s="174" t="str">
        <f>IF(Бланк!$J21="","",Бланк!$J21/1000)</f>
        <v/>
      </c>
      <c r="K3" s="174">
        <f>Бланк!K21</f>
        <v>0</v>
      </c>
      <c r="L3" s="174">
        <f>Бланк!L21</f>
        <v>0</v>
      </c>
      <c r="M3" s="174">
        <f>Бланк!M21</f>
        <v>0</v>
      </c>
      <c r="N3" s="175">
        <f>IF($K3="","",IF(OR($K3="J № 1",$K3="J № 2",$K3="J № 2L",$K3="J № 2R",$K3="AJ № 2",$K3="AJ № 2L",$K3="AJ № 2R",$K3="U",$K3="V"),$J3*$E3,IF(OR($K3="J № 3L",$K3="J № 3R",$K3="J № 4L",$K3="J № 4R",$K3="J № 5L",$K3="J № 5R"),$J3/2*$E3,IF($K3="45 град.",$J3*$E3,0))))</f>
        <v>0</v>
      </c>
      <c r="O3" s="173">
        <f>IF($K3="","",IF(OR($K3="J № 1",$K3="J № 2",$K3="J № 2L",$K3="J № 2R",$K3="AJ № 2",$K3="AJ № 2L",$K3="AJ № 2R",$K3="U",$K3="V"),$N3*Прайс!$D$46,IF(OR($K3="AJ № 3R",$K3="AJ № 4R",$K3="AJ № 5R",$K3="AJ № 3L",$K3="AJ № 4L",$K3="AJ № 5L",$K3="AJ № 3",$K3="AJ № 4",$K3="AJ № 5",$K3="J № 3",$K3="J № 4",$K3="J № 5",$K3="J № 6",$K3="J № 7",$K3="L",$K3="AL"),Прайс!$D$47*$E3,IF(OR($K3="J № 3L",$K3="J № 3R",$K3="J № 4L",$K3="J № 4R",$K3="J № 5L",$K3="J № 5R"),$N3/2*Прайс!$D$47*$E3,IF($K3="45 град.",$N3*Прайс!$D$45,0)))))</f>
        <v>0</v>
      </c>
      <c r="P3" s="234">
        <f>IF($K3="",0,IF(OR($M3=$S3,$M3=0),0,$N3*Прайс!$D$62))</f>
        <v>0</v>
      </c>
      <c r="Q3" s="176">
        <f>Бланк!N21</f>
        <v>0</v>
      </c>
      <c r="R3" s="177">
        <f>Бланк!R21</f>
        <v>0</v>
      </c>
      <c r="S3" s="177">
        <f>Бланк!S21</f>
        <v>0</v>
      </c>
      <c r="T3" s="177" t="str">
        <f>IF(Бланк!T21="","",Бланк!T21)</f>
        <v/>
      </c>
      <c r="U3" s="177">
        <f>Бланк!U21</f>
        <v>0</v>
      </c>
      <c r="V3" s="177" t="str">
        <f>Бланк!AB21</f>
        <v>Матове</v>
      </c>
      <c r="W3" s="177" t="str">
        <f>Бланк!AC21</f>
        <v>Ламінат</v>
      </c>
      <c r="X3" s="175">
        <f>IF(OR($C3=0,$C3=""),0,IF(AND(OR($T3="",$T3=0),$V3="Матове",OR($F3=4,$F3=6,$F3=8,$F3=10,$F3=16)),$AG3*Прайс!$F$10,IF(AND(OR($T3="",$T3=0),$V3="Матове+акрил",OR($F3=4,$F3=6,$F3=8,$F3=10,$F3=16)),$AG3*Прайс!#REF!,IF(AND(OR($T3="",$T3=0),$V3="Софт(TS)",OR($F3=4,$F3=6,$F3=8,$F3=10,$F3=16)),$AG3*Прайс!$F$11,IF(AND(OR($T3="",$T3=0),$V3="Глянець",OR($F3=4,$F3=6,$F3=8,$F3=10,$F3=16)),$AG3*Прайс!$F$12,IF(AND(OR($T3="Перл.ср.",$T3="Перл.зол."),OR($F3=4,$F3=6,$F3=8,$F3=10,$F3=16)),$AG3*Прайс!$F$13,IF(AND($T3="Гума",OR($F3=4,$F3=6,$F3=8,$F3=10,$F3=16)),$AG3*Прайс!$F$14,IF(AND($T3="Металік",OR($F3=4,$F3=6,$F3=8,$F3=10,$F3=16)),$AG3*Прайс!$F$15,IF(AND($T3="Рідке скло",OR($F3=4,$F3=6,$F3=8,$F3=10,$F3=16)),$AG3*Прайс!$F$16,IF(AND(OR($T3="Перли",$T3="Графіт"),OR($F3=4,$F3=6,$F3=8,$F3=10,$F3=16)),$AG3*Прайс!$F$17,IF(AND(OR($T3="Зор.н.ср.",$T3="Зор.н.зол.",$T3="Зор.н.різн."),OR($F3=4,$F3=6,$F3=8,$F3=10,$F3=16)),$AG3*Прайс!$F$18,IF(AND(,$T3="2-х кол.х.",OR($F3=4,$F3=6,$F3=8,$F3=10,$F3=16)),$AG3*Прайс!$F$19,IF(AND($T3="3-х кол.х.",OR($F3=4,$F3=6,$F3=8,$F3=10,$F3=16)),$AG3*Прайс!$F$20,IF(AND($T3="Фотодрук",OR($F3=4,$F3=6,$F3=8,$F3=10,$F3=16)),$AG3*Прайс!$F$21,0))))))))))))))</f>
        <v>0</v>
      </c>
      <c r="Y3" s="175">
        <f>IF(OR($C3=0,$C3=""),0,IF(AND(OR($T3="",$T3=0),$V3="Матове",$F3=19),$AG3*Прайс!$G$10,IF(AND(OR($T3="",$T3=0),$V3="Матове+акрил",$F3=19),$AG3*Прайс!#REF!,IF(AND(OR($T3="",$T3=0),$V3="Софт(TS)",$F3=19),$AG3*Прайс!$G$11,IF(AND(OR($T3="",$T3=0),$V3="Глянець",$F3=19),$AG3*Прайс!$G$12,IF(AND(OR($T3="Перл.ср.",$T3="Перл.зол."),$F3=19),$AG3*Прайс!$G$13,IF(AND($T3="Гума",$F3=19),$AG3*Прайс!$G$14,IF(AND($T3="Металік",$F3=19),$AG3*Прайс!$G$15,IF(AND($T3="Рідке скло",$F3=19),$AG3*Прайс!$G$16,IF(AND(OR($T3="Перли",$T3="Графіт"),$F3=19),$AG3*Прайс!$G$17,IF(AND(OR($T3="Зор.н.ср.",$T3="Зор.н.зол.",$T3="Зор.н.різн."),$F3=19),$AG3*Прайс!$G$18,IF(AND($T3="2-х кол.х.",$F3=19),$AG3*Прайс!$G$19,IF(AND($T3="3-х кол.х.",$F3=19),$AG3*Прайс!$G$20,IF(AND($T3="Фотодрук",$F3=19),$AG3*Прайс!$G$21,0))))))))))))))</f>
        <v>0</v>
      </c>
      <c r="Z3" s="175">
        <f>IF(OR($C3=0,$C3=""),0,IF(AND(OR($T3="",$T3=0),$W3="Матове",OR($F3=4,$F3=6,$F3=8,$F3=10,$F3=16,$F3=19)),$AG3*(Прайс!$F$10-500),IF(AND(OR($T3="",$T3=0),$W3="Матове+акрил",OR($F3=4,$F3=6,$F3=8,$F3=10,$F3=16,$F3=19)),$AG3*(Прайс!#REF!-500),IF(AND(OR($T3="",$T3=0),$W3="Софт(TS)",OR($F3=4,$F3=6,$F3=8,$F3=10,$F3=16,$F3=19)),$AG3*(Прайс!$F$11-500),IF(AND(OR($T3="",$T3=0),$W3="Глянець",OR($F3=4,$F3=6,$F3=8,$F3=10,$F3=16,$F3=19)),$AG3*(Прайс!$F$12-500),IF(AND(OR($T3="Перл.ср.",$T3="Перл.зол."),OR($F3=4,$F3=6,$F3=8,$F3=10,$F3=16,$F3=19)),$AG3*(Прайс!$F$13-500),IF(AND($T3="Гума",OR($F3=4,$F3=6,$F3=8,$F3=10,$F3=16,$F3=19)),$AG3*(Прайс!$F$14-500),IF(AND($T3="Металік",OR($F3=4,$F3=6,$F3=8,$F3=10,$F3=16,$F3=19)),$AG3*(Прайс!$F$15-500),IF(AND($T3="Рідке скло",OR($F3=4,$F3=6,$F3=8,$F3=10,$F3=16,$F3=19)),$AG3*(Прайс!$F$16-500),IF(AND(OR($T3="Перли",$T3="Графіт"),OR($F3=4,$F3=6,$F3=8,$F3=10,$F3=16,$F3=19)),$AG3*(Прайс!$F$17-500),IF(AND(OR($T3="Зор.н.ср.",$T3="Зор.н.зол.",$T3="Зор.н.різн."),OR($F3=4,$F3=6,$F3=8,$F3=10,$F3=16,$F3=19)),$AG3*(Прайс!$F$18-500),IF(AND(,$T3="2-х кол.х.",OR($F3=4,$F3=6,$F3=8,$F3=10,$F3=16,$F3=19)),$AG3*(Прайс!$F$19-500),IF(AND($T3="3-х кол.х.",OR($F3=4,$F3=6,$F3=8,$F3=10,$F3=16,$F3=19)),$AG3*(Прайс!$F$20-500),IF(AND($T3="Фотодрук",OR($F3=4,$F3=6,$F3=8,$F3=10,$F3=16,$F3=19)),$AG3*(Прайс!$F$21-500),0))))))))))))))</f>
        <v>0</v>
      </c>
      <c r="AA3" s="178">
        <f>IF(Бланк!AD21=0,0,Бланк!AD21*E3)</f>
        <v>0</v>
      </c>
      <c r="AB3" s="178">
        <f>Бланк!AE21</f>
        <v>0</v>
      </c>
      <c r="AC3" s="175">
        <f>IF(OR(AA$3=0,$AA3=""),0,$AA3*Прайс!$D$49)</f>
        <v>0</v>
      </c>
      <c r="AD3" s="178">
        <f>Бланк!AF21</f>
        <v>0</v>
      </c>
      <c r="AE3" s="178">
        <f>Бланк!AG21</f>
        <v>0</v>
      </c>
      <c r="AF3" s="178">
        <f>Бланк!AH21</f>
        <v>0</v>
      </c>
      <c r="AG3" s="123">
        <f>Бланк!$AI21</f>
        <v>2.4</v>
      </c>
      <c r="AH3" s="179"/>
      <c r="AI3" s="179"/>
      <c r="AJ3" s="180"/>
      <c r="AK3" s="180"/>
      <c r="AL3" s="180"/>
      <c r="AM3" s="180"/>
      <c r="AN3" s="180"/>
      <c r="AO3" s="179"/>
      <c r="AP3" s="179"/>
    </row>
    <row r="4" spans="1:44" s="181" customFormat="1" ht="21" customHeight="1" x14ac:dyDescent="0.2">
      <c r="B4" s="182">
        <v>2</v>
      </c>
      <c r="C4" s="170" t="str">
        <f>IF(Бланк!$C22="","",Бланк!$C22/1000)</f>
        <v/>
      </c>
      <c r="D4" s="171" t="str">
        <f>IF(Бланк!$D22="","",Бланк!$D22/1000)</f>
        <v/>
      </c>
      <c r="E4" s="172" t="str">
        <f>IF(Бланк!E22="","",Бланк!E22)</f>
        <v/>
      </c>
      <c r="F4" s="172" t="str">
        <f>IF(Бланк!F22="","",Бланк!F22)</f>
        <v/>
      </c>
      <c r="G4" s="172" t="str">
        <f>IF(Бланк!H22="","",Бланк!H22)</f>
        <v/>
      </c>
      <c r="H4" s="172" t="str">
        <f>IF(Бланк!I22="","",Бланк!I22)</f>
        <v/>
      </c>
      <c r="I4" s="173" t="str">
        <f>IF(OR($C4="",$C4=0),"",IF($H4="Пряма з чвертю",(Прайс!$D$39+Прайс!$D$42)*Просчет!$E4,IF(Просчет!$H4="Пряма без чверті",Прайс!$D$39*Просчет!$E4,IF(AND(Просчет!$H4="Шпрос з чвертю",OR($C4&lt;1,$C4=1)),(Прайс!$D$40+Прайс!$D$43)*Просчет!$E4,IF(AND($H4="Шпрос з чвертю",$C4&gt;1),(Прайс!$F$40+Прайс!$D$43)*Просчет!$E4,IF(AND($H4="Шпрос без чверті",OR($C4&lt;1,$C4=1)),Прайс!$D$40*Просчет!$E4,IF(AND($H4="Шпрос без чверті",$C4&gt;1),Прайс!$F$40*Просчет!$E4,"")))))))</f>
        <v/>
      </c>
      <c r="J4" s="174" t="str">
        <f>IF(Бланк!$J22="","",Бланк!$J22/1000)</f>
        <v/>
      </c>
      <c r="K4" s="174">
        <f>Бланк!K22</f>
        <v>0</v>
      </c>
      <c r="L4" s="174">
        <f>Бланк!L22</f>
        <v>0</v>
      </c>
      <c r="M4" s="174">
        <f>Бланк!M22</f>
        <v>0</v>
      </c>
      <c r="N4" s="175">
        <f t="shared" ref="N4:N47" si="0">IF($K4="","",IF(OR($K4="J № 1",$K4="J № 2",$K4="J № 2L",$K4="J № 2R",$K4="AJ № 2",$K4="AJ № 2L",$K4="AJ № 2R",$K4="U",$K4="V"),$J4*$E4,IF(OR($K4="J № 3L",$K4="J № 3R",$K4="J № 4L",$K4="J № 4R",$K4="J № 5L",$K4="J № 5R"),$J4/2*$E4,IF($K4="45 град.",$J4*$E4,0))))</f>
        <v>0</v>
      </c>
      <c r="O4" s="173">
        <f>IF($K4="","",IF(OR($K4="J № 1",$K4="J № 2",$K4="J № 2L",$K4="J № 2R",$K4="AJ № 2",$K4="AJ № 2L",$K4="AJ № 2R",$K4="U",$K4="V"),$N4*Прайс!$D$46,IF(OR($K4="AJ № 3R",$K4="AJ № 4R",$K4="AJ № 5R",$K4="AJ № 3L",$K4="AJ № 4L",$K4="AJ № 5L",$K4="AJ № 3",$K4="AJ № 4",$K4="AJ № 5",$K4="J № 3",$K4="J № 4",$K4="J № 5",$K4="J № 6",$K4="J № 7",$K4="L",$K4="AL"),Прайс!$D$47*$E4,IF(OR($K4="J № 3L",$K4="J № 3R",$K4="J № 4L",$K4="J № 4R",$K4="J № 5L",$K4="J № 5R"),$N4/2*Прайс!$D$47*$E4,IF($K4="45 град.",$N4*Прайс!$D$45,0)))))</f>
        <v>0</v>
      </c>
      <c r="P4" s="234">
        <f>IF($K4="",0,IF(OR($M4=$S4,$M4=0),0,$N4*Прайс!$D$62))</f>
        <v>0</v>
      </c>
      <c r="Q4" s="176">
        <f>Бланк!N22</f>
        <v>0</v>
      </c>
      <c r="R4" s="177">
        <f>Бланк!R22</f>
        <v>0</v>
      </c>
      <c r="S4" s="177">
        <f>Бланк!S22</f>
        <v>0</v>
      </c>
      <c r="T4" s="177" t="str">
        <f>IF(Бланк!T22="","",Бланк!T22)</f>
        <v/>
      </c>
      <c r="U4" s="177">
        <f>Бланк!U22</f>
        <v>0</v>
      </c>
      <c r="V4" s="177">
        <f>Бланк!AB22</f>
        <v>0</v>
      </c>
      <c r="W4" s="177">
        <f>Бланк!AC22</f>
        <v>0</v>
      </c>
      <c r="X4" s="175">
        <f>IF(OR($C4=0,$C4=""),0,IF(AND(OR($T4="",$T4=0),$V4="Матове",OR($F4=4,$F4=6,$F4=8,$F4=10,$F4=16)),$AG4*Прайс!$F$10,IF(AND(OR($T4="",$T4=0),$V4="Матове+акрил",OR($F4=4,$F4=6,$F4=8,$F4=10,$F4=16)),$AG4*Прайс!#REF!,IF(AND(OR($T4="",$T4=0),$V4="Софт(TS)",OR($F4=4,$F4=6,$F4=8,$F4=10,$F4=16)),$AG4*Прайс!$F$11,IF(AND(OR($T4="",$T4=0),$V4="Глянець",OR($F4=4,$F4=6,$F4=8,$F4=10,$F4=16)),$AG4*Прайс!$F$12,IF(AND(OR($T4="Перл.ср.",$T4="Перл.зол."),OR($F4=4,$F4=6,$F4=8,$F4=10,$F4=16)),$AG4*Прайс!$F$13,IF(AND($T4="Гума",OR($F4=4,$F4=6,$F4=8,$F4=10,$F4=16)),$AG4*Прайс!$F$14,IF(AND($T4="Металік",OR($F4=4,$F4=6,$F4=8,$F4=10,$F4=16)),$AG4*Прайс!$F$15,IF(AND($T4="Рідке скло",OR($F4=4,$F4=6,$F4=8,$F4=10,$F4=16)),$AG4*Прайс!$F$16,IF(AND(OR($T4="Перли",$T4="Графіт"),OR($F4=4,$F4=6,$F4=8,$F4=10,$F4=16)),$AG4*Прайс!$F$17,IF(AND(OR($T4="Зор.н.ср.",$T4="Зор.н.зол.",$T4="Зор.н.різн."),OR($F4=4,$F4=6,$F4=8,$F4=10,$F4=16)),$AG4*Прайс!$F$18,IF(AND(,$T4="2-х кол.х.",OR($F4=4,$F4=6,$F4=8,$F4=10,$F4=16)),$AG4*Прайс!$F$19,IF(AND($T4="3-х кол.х.",OR($F4=4,$F4=6,$F4=8,$F4=10,$F4=16)),$AG4*Прайс!$F$20,IF(AND($T4="Фотодрук",OR($F4=4,$F4=6,$F4=8,$F4=10,$F4=16)),$AG4*Прайс!$F$21,0))))))))))))))</f>
        <v>0</v>
      </c>
      <c r="Y4" s="175">
        <f>IF(OR($C4=0,$C4=""),0,IF(AND(OR($T4="",$T4=0),$V4="Матове",$F4=19),$AG4*Прайс!$G$10,IF(AND(OR($T4="",$T4=0),$V4="Матове+акрил",$F4=19),$AG4*Прайс!#REF!,IF(AND(OR($T4="",$T4=0),$V4="Софт(TS)",$F4=19),$AG4*Прайс!$G$11,IF(AND(OR($T4="",$T4=0),$V4="Глянець",$F4=19),$AG4*Прайс!$G$12,IF(AND(OR($T4="Перл.ср.",$T4="Перл.зол."),$F4=19),$AG4*Прайс!$G$13,IF(AND($T4="Гума",$F4=19),$AG4*Прайс!$G$14,IF(AND($T4="Металік",$F4=19),$AG4*Прайс!$G$15,IF(AND($T4="Рідке скло",$F4=19),$AG4*Прайс!$G$16,IF(AND(OR($T4="Перли",$T4="Графіт"),$F4=19),$AG4*Прайс!$G$17,IF(AND(OR($T4="Зор.н.ср.",$T4="Зор.н.зол.",$T4="Зор.н.різн."),$F4=19),$AG4*Прайс!$G$18,IF(AND($T4="2-х кол.х.",$F4=19),$AG4*Прайс!$G$19,IF(AND($T4="3-х кол.х.",$F4=19),$AG4*Прайс!$G$20,IF(AND($T4="Фотодрук",$F4=19),$AG4*Прайс!$G$21,0))))))))))))))</f>
        <v>0</v>
      </c>
      <c r="Z4" s="175">
        <f>IF(OR($C4=0,$C4=""),0,IF(AND(OR($T4="",$T4=0),$W4="Матове",OR($F4=4,$F4=6,$F4=8,$F4=10,$F4=16,$F4=19)),$AG4*(Прайс!$F$10-500),IF(AND(OR($T4="",$T4=0),$W4="Матове+акрил",OR($F4=4,$F4=6,$F4=8,$F4=10,$F4=16,$F4=19)),$AG4*(Прайс!#REF!-500),IF(AND(OR($T4="",$T4=0),$W4="Софт(TS)",OR($F4=4,$F4=6,$F4=8,$F4=10,$F4=16,$F4=19)),$AG4*(Прайс!$F$11-500),IF(AND(OR($T4="",$T4=0),$W4="Глянець",OR($F4=4,$F4=6,$F4=8,$F4=10,$F4=16,$F4=19)),$AG4*(Прайс!$F$12-500),IF(AND(OR($T4="Перл.ср.",$T4="Перл.зол."),OR($F4=4,$F4=6,$F4=8,$F4=10,$F4=16,$F4=19)),$AG4*(Прайс!$F$13-500),IF(AND($T4="Гума",OR($F4=4,$F4=6,$F4=8,$F4=10,$F4=16,$F4=19)),$AG4*(Прайс!$F$14-500),IF(AND($T4="Металік",OR($F4=4,$F4=6,$F4=8,$F4=10,$F4=16,$F4=19)),$AG4*(Прайс!$F$15-500),IF(AND($T4="Рідке скло",OR($F4=4,$F4=6,$F4=8,$F4=10,$F4=16,$F4=19)),$AG4*(Прайс!$F$16-500),IF(AND(OR($T4="Перли",$T4="Графіт"),OR($F4=4,$F4=6,$F4=8,$F4=10,$F4=16,$F4=19)),$AG4*(Прайс!$F$17-500),IF(AND(OR($T4="Зор.н.ср.",$T4="Зор.н.зол.",$T4="Зор.н.різн."),OR($F4=4,$F4=6,$F4=8,$F4=10,$F4=16,$F4=19)),$AG4*(Прайс!$F$18-500),IF(AND(,$T4="2-х кол.х.",OR($F4=4,$F4=6,$F4=8,$F4=10,$F4=16,$F4=19)),$AG4*(Прайс!$F$19-500),IF(AND($T4="3-х кол.х.",OR($F4=4,$F4=6,$F4=8,$F4=10,$F4=16,$F4=19)),$AG4*(Прайс!$F$20-500),IF(AND($T4="Фотодрук",OR($F4=4,$F4=6,$F4=8,$F4=10,$F4=16,$F4=19)),$AG4*(Прайс!$F$21-500),0))))))))))))))</f>
        <v>0</v>
      </c>
      <c r="AA4" s="178">
        <f>IF(Бланк!AD22=0,0,Бланк!AD22*E4)</f>
        <v>0</v>
      </c>
      <c r="AB4" s="178">
        <f>Бланк!AE22</f>
        <v>0</v>
      </c>
      <c r="AC4" s="175">
        <f>IF(OR(AA$3=0,$AA4=""),0,$AA4*Прайс!$D$49)</f>
        <v>0</v>
      </c>
      <c r="AD4" s="178">
        <f>Бланк!AF22</f>
        <v>0</v>
      </c>
      <c r="AE4" s="178">
        <f>Бланк!AG22</f>
        <v>0</v>
      </c>
      <c r="AF4" s="178">
        <f>Бланк!AH22</f>
        <v>0</v>
      </c>
      <c r="AG4" s="123">
        <f>Бланк!$AI22</f>
        <v>0</v>
      </c>
      <c r="AH4" s="183"/>
      <c r="AI4" s="183"/>
      <c r="AJ4" s="183"/>
      <c r="AK4" s="183"/>
      <c r="AL4" s="184"/>
      <c r="AM4" s="184"/>
      <c r="AN4" s="184"/>
      <c r="AO4" s="184"/>
      <c r="AP4" s="185"/>
      <c r="AR4" s="153"/>
    </row>
    <row r="5" spans="1:44" s="181" customFormat="1" ht="21" customHeight="1" x14ac:dyDescent="0.2">
      <c r="B5" s="182">
        <v>3</v>
      </c>
      <c r="C5" s="170" t="str">
        <f>IF(Бланк!$C23="","",Бланк!$C23/1000)</f>
        <v/>
      </c>
      <c r="D5" s="171" t="str">
        <f>IF(Бланк!$D23="","",Бланк!$D23/1000)</f>
        <v/>
      </c>
      <c r="E5" s="172" t="str">
        <f>IF(Бланк!E23="","",Бланк!E23)</f>
        <v/>
      </c>
      <c r="F5" s="172" t="str">
        <f>IF(Бланк!F23="","",Бланк!F23)</f>
        <v/>
      </c>
      <c r="G5" s="172" t="str">
        <f>IF(Бланк!H23="","",Бланк!H23)</f>
        <v/>
      </c>
      <c r="H5" s="172" t="str">
        <f>IF(Бланк!I23="","",Бланк!I23)</f>
        <v/>
      </c>
      <c r="I5" s="173" t="str">
        <f>IF(OR($C5="",$C5=0),"",IF($H5="Пряма з чвертю",(Прайс!$D$39+Прайс!$D$42)*Просчет!$E5,IF(Просчет!$H5="Пряма без чверті",Прайс!$D$39*Просчет!$E5,IF(AND(Просчет!$H5="Шпрос з чвертю",OR($C5&lt;1,$C5=1)),(Прайс!$D$40+Прайс!$D$43)*Просчет!$E5,IF(AND($H5="Шпрос з чвертю",$C5&gt;1),(Прайс!$F$40+Прайс!$D$43)*Просчет!$E5,IF(AND($H5="Шпрос без чверті",OR($C5&lt;1,$C5=1)),Прайс!$D$40*Просчет!$E5,IF(AND($H5="Шпрос без чверті",$C5&gt;1),Прайс!$F$40*Просчет!$E5,"")))))))</f>
        <v/>
      </c>
      <c r="J5" s="174" t="str">
        <f>IF(Бланк!$J23="","",Бланк!$J23/1000)</f>
        <v/>
      </c>
      <c r="K5" s="174">
        <f>Бланк!K23</f>
        <v>0</v>
      </c>
      <c r="L5" s="174">
        <f>Бланк!L23</f>
        <v>0</v>
      </c>
      <c r="M5" s="174">
        <f>Бланк!M23</f>
        <v>0</v>
      </c>
      <c r="N5" s="175">
        <f t="shared" si="0"/>
        <v>0</v>
      </c>
      <c r="O5" s="173">
        <f>IF($K5="","",IF(OR($K5="J № 1",$K5="J № 2",$K5="J № 2L",$K5="J № 2R",$K5="AJ № 2",$K5="AJ № 2L",$K5="AJ № 2R",$K5="U",$K5="V"),$N5*Прайс!$D$46,IF(OR($K5="AJ № 3R",$K5="AJ № 4R",$K5="AJ № 5R",$K5="AJ № 3L",$K5="AJ № 4L",$K5="AJ № 5L",$K5="AJ № 3",$K5="AJ № 4",$K5="AJ № 5",$K5="J № 3",$K5="J № 4",$K5="J № 5",$K5="J № 6",$K5="J № 7",$K5="L",$K5="AL"),Прайс!$D$47*$E5,IF(OR($K5="J № 3L",$K5="J № 3R",$K5="J № 4L",$K5="J № 4R",$K5="J № 5L",$K5="J № 5R"),$N5/2*Прайс!$D$47*$E5,IF($K5="45 град.",$N5*Прайс!$D$45,0)))))</f>
        <v>0</v>
      </c>
      <c r="P5" s="234">
        <f>IF($K5="",0,IF(OR($M5=$S5,$M5=0),0,$N5*Прайс!$D$62))</f>
        <v>0</v>
      </c>
      <c r="Q5" s="176">
        <f>Бланк!N23</f>
        <v>0</v>
      </c>
      <c r="R5" s="177">
        <f>Бланк!R23</f>
        <v>0</v>
      </c>
      <c r="S5" s="177">
        <f>Бланк!S23</f>
        <v>0</v>
      </c>
      <c r="T5" s="177" t="str">
        <f>IF(Бланк!T23="","",Бланк!T23)</f>
        <v/>
      </c>
      <c r="U5" s="177">
        <f>Бланк!U23</f>
        <v>0</v>
      </c>
      <c r="V5" s="177">
        <f>Бланк!AB23</f>
        <v>0</v>
      </c>
      <c r="W5" s="177">
        <f>Бланк!AC23</f>
        <v>0</v>
      </c>
      <c r="X5" s="175">
        <f>IF(OR($C5=0,$C5=""),0,IF(AND(OR($T5="",$T5=0),$V5="Матове",OR($F5=4,$F5=6,$F5=8,$F5=10,$F5=16)),$AG5*Прайс!$F$10,IF(AND(OR($T5="",$T5=0),$V5="Матове+акрил",OR($F5=4,$F5=6,$F5=8,$F5=10,$F5=16)),$AG5*Прайс!#REF!,IF(AND(OR($T5="",$T5=0),$V5="Софт(TS)",OR($F5=4,$F5=6,$F5=8,$F5=10,$F5=16)),$AG5*Прайс!$F$11,IF(AND(OR($T5="",$T5=0),$V5="Глянець",OR($F5=4,$F5=6,$F5=8,$F5=10,$F5=16)),$AG5*Прайс!$F$12,IF(AND(OR($T5="Перл.ср.",$T5="Перл.зол."),OR($F5=4,$F5=6,$F5=8,$F5=10,$F5=16)),$AG5*Прайс!$F$13,IF(AND($T5="Гума",OR($F5=4,$F5=6,$F5=8,$F5=10,$F5=16)),$AG5*Прайс!$F$14,IF(AND($T5="Металік",OR($F5=4,$F5=6,$F5=8,$F5=10,$F5=16)),$AG5*Прайс!$F$15,IF(AND($T5="Рідке скло",OR($F5=4,$F5=6,$F5=8,$F5=10,$F5=16)),$AG5*Прайс!$F$16,IF(AND(OR($T5="Перли",$T5="Графіт"),OR($F5=4,$F5=6,$F5=8,$F5=10,$F5=16)),$AG5*Прайс!$F$17,IF(AND(OR($T5="Зор.н.ср.",$T5="Зор.н.зол.",$T5="Зор.н.різн."),OR($F5=4,$F5=6,$F5=8,$F5=10,$F5=16)),$AG5*Прайс!$F$18,IF(AND(,$T5="2-х кол.х.",OR($F5=4,$F5=6,$F5=8,$F5=10,$F5=16)),$AG5*Прайс!$F$19,IF(AND($T5="3-х кол.х.",OR($F5=4,$F5=6,$F5=8,$F5=10,$F5=16)),$AG5*Прайс!$F$20,IF(AND($T5="Фотодрук",OR($F5=4,$F5=6,$F5=8,$F5=10,$F5=16)),$AG5*Прайс!$F$21,0))))))))))))))</f>
        <v>0</v>
      </c>
      <c r="Y5" s="175">
        <f>IF(OR($C5=0,$C5=""),0,IF(AND(OR($T5="",$T5=0),$V5="Матове",$F5=19),$AG5*Прайс!$G$10,IF(AND(OR($T5="",$T5=0),$V5="Матове+акрил",$F5=19),$AG5*Прайс!#REF!,IF(AND(OR($T5="",$T5=0),$V5="Софт(TS)",$F5=19),$AG5*Прайс!$G$11,IF(AND(OR($T5="",$T5=0),$V5="Глянець",$F5=19),$AG5*Прайс!$G$12,IF(AND(OR($T5="Перл.ср.",$T5="Перл.зол."),$F5=19),$AG5*Прайс!$G$13,IF(AND($T5="Гума",$F5=19),$AG5*Прайс!$G$14,IF(AND($T5="Металік",$F5=19),$AG5*Прайс!$G$15,IF(AND($T5="Рідке скло",$F5=19),$AG5*Прайс!$G$16,IF(AND(OR($T5="Перли",$T5="Графіт"),$F5=19),$AG5*Прайс!$G$17,IF(AND(OR($T5="Зор.н.ср.",$T5="Зор.н.зол.",$T5="Зор.н.різн."),$F5=19),$AG5*Прайс!$G$18,IF(AND($T5="2-х кол.х.",$F5=19),$AG5*Прайс!$G$19,IF(AND($T5="3-х кол.х.",$F5=19),$AG5*Прайс!$G$20,IF(AND($T5="Фотодрук",$F5=19),$AG5*Прайс!$G$21,0))))))))))))))</f>
        <v>0</v>
      </c>
      <c r="Z5" s="175">
        <f>IF(OR($C5=0,$C5=""),0,IF(AND(OR($T5="",$T5=0),$W5="Матове",OR($F5=4,$F5=6,$F5=8,$F5=10,$F5=16,$F5=19)),$AG5*(Прайс!$F$10-500),IF(AND(OR($T5="",$T5=0),$W5="Матове+акрил",OR($F5=4,$F5=6,$F5=8,$F5=10,$F5=16,$F5=19)),$AG5*(Прайс!#REF!-500),IF(AND(OR($T5="",$T5=0),$W5="Софт(TS)",OR($F5=4,$F5=6,$F5=8,$F5=10,$F5=16,$F5=19)),$AG5*(Прайс!$F$11-500),IF(AND(OR($T5="",$T5=0),$W5="Глянець",OR($F5=4,$F5=6,$F5=8,$F5=10,$F5=16,$F5=19)),$AG5*(Прайс!$F$12-500),IF(AND(OR($T5="Перл.ср.",$T5="Перл.зол."),OR($F5=4,$F5=6,$F5=8,$F5=10,$F5=16,$F5=19)),$AG5*(Прайс!$F$13-500),IF(AND($T5="Гума",OR($F5=4,$F5=6,$F5=8,$F5=10,$F5=16,$F5=19)),$AG5*(Прайс!$F$14-500),IF(AND($T5="Металік",OR($F5=4,$F5=6,$F5=8,$F5=10,$F5=16,$F5=19)),$AG5*(Прайс!$F$15-500),IF(AND($T5="Рідке скло",OR($F5=4,$F5=6,$F5=8,$F5=10,$F5=16,$F5=19)),$AG5*(Прайс!$F$16-500),IF(AND(OR($T5="Перли",$T5="Графіт"),OR($F5=4,$F5=6,$F5=8,$F5=10,$F5=16,$F5=19)),$AG5*(Прайс!$F$17-500),IF(AND(OR($T5="Зор.н.ср.",$T5="Зор.н.зол.",$T5="Зор.н.різн."),OR($F5=4,$F5=6,$F5=8,$F5=10,$F5=16,$F5=19)),$AG5*(Прайс!$F$18-500),IF(AND(,$T5="2-х кол.х.",OR($F5=4,$F5=6,$F5=8,$F5=10,$F5=16,$F5=19)),$AG5*(Прайс!$F$19-500),IF(AND($T5="3-х кол.х.",OR($F5=4,$F5=6,$F5=8,$F5=10,$F5=16,$F5=19)),$AG5*(Прайс!$F$20-500),IF(AND($T5="Фотодрук",OR($F5=4,$F5=6,$F5=8,$F5=10,$F5=16,$F5=19)),$AG5*(Прайс!$F$21-500),0))))))))))))))</f>
        <v>0</v>
      </c>
      <c r="AA5" s="178">
        <f>IF(Бланк!AD23=0,0,Бланк!AD23*E5)</f>
        <v>0</v>
      </c>
      <c r="AB5" s="178">
        <f>Бланк!AE23</f>
        <v>0</v>
      </c>
      <c r="AC5" s="175">
        <f>IF(OR(AA$3=0,$AA5=""),0,$AA5*Прайс!$D$49)</f>
        <v>0</v>
      </c>
      <c r="AD5" s="178">
        <f>Бланк!AF23</f>
        <v>0</v>
      </c>
      <c r="AE5" s="178">
        <f>Бланк!AG23</f>
        <v>0</v>
      </c>
      <c r="AF5" s="178">
        <f>Бланк!AH23</f>
        <v>0</v>
      </c>
      <c r="AG5" s="123">
        <f>Бланк!$AI23</f>
        <v>0</v>
      </c>
      <c r="AH5" s="183"/>
      <c r="AI5" s="183"/>
      <c r="AJ5" s="183"/>
      <c r="AK5" s="183"/>
      <c r="AL5" s="184"/>
      <c r="AM5" s="184"/>
      <c r="AN5" s="184"/>
      <c r="AO5" s="184"/>
      <c r="AP5" s="185"/>
    </row>
    <row r="6" spans="1:44" s="181" customFormat="1" ht="21" customHeight="1" x14ac:dyDescent="0.2">
      <c r="B6" s="182">
        <v>4</v>
      </c>
      <c r="C6" s="170" t="str">
        <f>IF(Бланк!$C24="","",Бланк!$C24/1000)</f>
        <v/>
      </c>
      <c r="D6" s="171" t="str">
        <f>IF(Бланк!$D24="","",Бланк!$D24/1000)</f>
        <v/>
      </c>
      <c r="E6" s="172" t="str">
        <f>IF(Бланк!E24="","",Бланк!E24)</f>
        <v/>
      </c>
      <c r="F6" s="172" t="str">
        <f>IF(Бланк!F24="","",Бланк!F24)</f>
        <v/>
      </c>
      <c r="G6" s="172" t="str">
        <f>IF(Бланк!H24="","",Бланк!H24)</f>
        <v/>
      </c>
      <c r="H6" s="172" t="str">
        <f>IF(Бланк!I24="","",Бланк!I24)</f>
        <v/>
      </c>
      <c r="I6" s="173" t="str">
        <f>IF(OR($C6="",$C6=0),"",IF($H6="Пряма з чвертю",(Прайс!$D$39+Прайс!$D$42)*Просчет!$E6,IF(Просчет!$H6="Пряма без чверті",Прайс!$D$39*Просчет!$E6,IF(AND(Просчет!$H6="Шпрос з чвертю",OR($C6&lt;1,$C6=1)),(Прайс!$D$40+Прайс!$D$43)*Просчет!$E6,IF(AND($H6="Шпрос з чвертю",$C6&gt;1),(Прайс!$F$40+Прайс!$D$43)*Просчет!$E6,IF(AND($H6="Шпрос без чверті",OR($C6&lt;1,$C6=1)),Прайс!$D$40*Просчет!$E6,IF(AND($H6="Шпрос без чверті",$C6&gt;1),Прайс!$F$40*Просчет!$E6,"")))))))</f>
        <v/>
      </c>
      <c r="J6" s="174" t="str">
        <f>IF(Бланк!$J24="","",Бланк!$J24/1000)</f>
        <v/>
      </c>
      <c r="K6" s="174">
        <f>Бланк!K24</f>
        <v>0</v>
      </c>
      <c r="L6" s="174">
        <f>Бланк!L24</f>
        <v>0</v>
      </c>
      <c r="M6" s="174">
        <f>Бланк!M24</f>
        <v>0</v>
      </c>
      <c r="N6" s="175">
        <f t="shared" si="0"/>
        <v>0</v>
      </c>
      <c r="O6" s="173">
        <f>IF($K6="","",IF(OR($K6="J № 1",$K6="J № 2",$K6="J № 2L",$K6="J № 2R",$K6="AJ № 2",$K6="AJ № 2L",$K6="AJ № 2R",$K6="U",$K6="V"),$N6*Прайс!$D$46,IF(OR($K6="AJ № 3R",$K6="AJ № 4R",$K6="AJ № 5R",$K6="AJ № 3L",$K6="AJ № 4L",$K6="AJ № 5L",$K6="AJ № 3",$K6="AJ № 4",$K6="AJ № 5",$K6="J № 3",$K6="J № 4",$K6="J № 5",$K6="J № 6",$K6="J № 7",$K6="L",$K6="AL"),Прайс!$D$47*$E6,IF(OR($K6="J № 3L",$K6="J № 3R",$K6="J № 4L",$K6="J № 4R",$K6="J № 5L",$K6="J № 5R"),$N6/2*Прайс!$D$47*$E6,IF($K6="45 град.",$N6*Прайс!$D$45,0)))))</f>
        <v>0</v>
      </c>
      <c r="P6" s="234">
        <f>IF($K6="",0,IF(OR($M6=$S6,$M6=0),0,$N6*Прайс!$D$62))</f>
        <v>0</v>
      </c>
      <c r="Q6" s="176">
        <f>Бланк!N24</f>
        <v>0</v>
      </c>
      <c r="R6" s="177">
        <f>Бланк!R24</f>
        <v>0</v>
      </c>
      <c r="S6" s="177">
        <f>Бланк!S24</f>
        <v>0</v>
      </c>
      <c r="T6" s="177" t="str">
        <f>IF(Бланк!T24="","",Бланк!T24)</f>
        <v/>
      </c>
      <c r="U6" s="177">
        <f>Бланк!U24</f>
        <v>0</v>
      </c>
      <c r="V6" s="177">
        <f>Бланк!AB24</f>
        <v>0</v>
      </c>
      <c r="W6" s="177">
        <f>Бланк!AC24</f>
        <v>0</v>
      </c>
      <c r="X6" s="175">
        <f>IF(OR($C6=0,$C6=""),0,IF(AND(OR($T6="",$T6=0),$V6="Матове",OR($F6=4,$F6=6,$F6=8,$F6=10,$F6=16)),$AG6*Прайс!$F$10,IF(AND(OR($T6="",$T6=0),$V6="Матове+акрил",OR($F6=4,$F6=6,$F6=8,$F6=10,$F6=16)),$AG6*Прайс!#REF!,IF(AND(OR($T6="",$T6=0),$V6="Софт(TS)",OR($F6=4,$F6=6,$F6=8,$F6=10,$F6=16)),$AG6*Прайс!$F$11,IF(AND(OR($T6="",$T6=0),$V6="Глянець",OR($F6=4,$F6=6,$F6=8,$F6=10,$F6=16)),$AG6*Прайс!$F$12,IF(AND(OR($T6="Перл.ср.",$T6="Перл.зол."),OR($F6=4,$F6=6,$F6=8,$F6=10,$F6=16)),$AG6*Прайс!$F$13,IF(AND($T6="Гума",OR($F6=4,$F6=6,$F6=8,$F6=10,$F6=16)),$AG6*Прайс!$F$14,IF(AND($T6="Металік",OR($F6=4,$F6=6,$F6=8,$F6=10,$F6=16)),$AG6*Прайс!$F$15,IF(AND($T6="Рідке скло",OR($F6=4,$F6=6,$F6=8,$F6=10,$F6=16)),$AG6*Прайс!$F$16,IF(AND(OR($T6="Перли",$T6="Графіт"),OR($F6=4,$F6=6,$F6=8,$F6=10,$F6=16)),$AG6*Прайс!$F$17,IF(AND(OR($T6="Зор.н.ср.",$T6="Зор.н.зол.",$T6="Зор.н.різн."),OR($F6=4,$F6=6,$F6=8,$F6=10,$F6=16)),$AG6*Прайс!$F$18,IF(AND(,$T6="2-х кол.х.",OR($F6=4,$F6=6,$F6=8,$F6=10,$F6=16)),$AG6*Прайс!$F$19,IF(AND($T6="3-х кол.х.",OR($F6=4,$F6=6,$F6=8,$F6=10,$F6=16)),$AG6*Прайс!$F$20,IF(AND($T6="Фотодрук",OR($F6=4,$F6=6,$F6=8,$F6=10,$F6=16)),$AG6*Прайс!$F$21,0))))))))))))))</f>
        <v>0</v>
      </c>
      <c r="Y6" s="175">
        <f>IF(OR($C6=0,$C6=""),0,IF(AND(OR($T6="",$T6=0),$V6="Матове",$F6=19),$AG6*Прайс!$G$10,IF(AND(OR($T6="",$T6=0),$V6="Матове+акрил",$F6=19),$AG6*Прайс!#REF!,IF(AND(OR($T6="",$T6=0),$V6="Софт(TS)",$F6=19),$AG6*Прайс!$G$11,IF(AND(OR($T6="",$T6=0),$V6="Глянець",$F6=19),$AG6*Прайс!$G$12,IF(AND(OR($T6="Перл.ср.",$T6="Перл.зол."),$F6=19),$AG6*Прайс!$G$13,IF(AND($T6="Гума",$F6=19),$AG6*Прайс!$G$14,IF(AND($T6="Металік",$F6=19),$AG6*Прайс!$G$15,IF(AND($T6="Рідке скло",$F6=19),$AG6*Прайс!$G$16,IF(AND(OR($T6="Перли",$T6="Графіт"),$F6=19),$AG6*Прайс!$G$17,IF(AND(OR($T6="Зор.н.ср.",$T6="Зор.н.зол.",$T6="Зор.н.різн."),$F6=19),$AG6*Прайс!$G$18,IF(AND($T6="2-х кол.х.",$F6=19),$AG6*Прайс!$G$19,IF(AND($T6="3-х кол.х.",$F6=19),$AG6*Прайс!$G$20,IF(AND($T6="Фотодрук",$F6=19),$AG6*Прайс!$G$21,0))))))))))))))</f>
        <v>0</v>
      </c>
      <c r="Z6" s="175">
        <f>IF(OR($C6=0,$C6=""),0,IF(AND(OR($T6="",$T6=0),$W6="Матове",OR($F6=4,$F6=6,$F6=8,$F6=10,$F6=16,$F6=19)),$AG6*(Прайс!$F$10-500),IF(AND(OR($T6="",$T6=0),$W6="Матове+акрил",OR($F6=4,$F6=6,$F6=8,$F6=10,$F6=16,$F6=19)),$AG6*(Прайс!#REF!-500),IF(AND(OR($T6="",$T6=0),$W6="Софт(TS)",OR($F6=4,$F6=6,$F6=8,$F6=10,$F6=16,$F6=19)),$AG6*(Прайс!$F$11-500),IF(AND(OR($T6="",$T6=0),$W6="Глянець",OR($F6=4,$F6=6,$F6=8,$F6=10,$F6=16,$F6=19)),$AG6*(Прайс!$F$12-500),IF(AND(OR($T6="Перл.ср.",$T6="Перл.зол."),OR($F6=4,$F6=6,$F6=8,$F6=10,$F6=16,$F6=19)),$AG6*(Прайс!$F$13-500),IF(AND($T6="Гума",OR($F6=4,$F6=6,$F6=8,$F6=10,$F6=16,$F6=19)),$AG6*(Прайс!$F$14-500),IF(AND($T6="Металік",OR($F6=4,$F6=6,$F6=8,$F6=10,$F6=16,$F6=19)),$AG6*(Прайс!$F$15-500),IF(AND($T6="Рідке скло",OR($F6=4,$F6=6,$F6=8,$F6=10,$F6=16,$F6=19)),$AG6*(Прайс!$F$16-500),IF(AND(OR($T6="Перли",$T6="Графіт"),OR($F6=4,$F6=6,$F6=8,$F6=10,$F6=16,$F6=19)),$AG6*(Прайс!$F$17-500),IF(AND(OR($T6="Зор.н.ср.",$T6="Зор.н.зол.",$T6="Зор.н.різн."),OR($F6=4,$F6=6,$F6=8,$F6=10,$F6=16,$F6=19)),$AG6*(Прайс!$F$18-500),IF(AND(,$T6="2-х кол.х.",OR($F6=4,$F6=6,$F6=8,$F6=10,$F6=16,$F6=19)),$AG6*(Прайс!$F$19-500),IF(AND($T6="3-х кол.х.",OR($F6=4,$F6=6,$F6=8,$F6=10,$F6=16,$F6=19)),$AG6*(Прайс!$F$20-500),IF(AND($T6="Фотодрук",OR($F6=4,$F6=6,$F6=8,$F6=10,$F6=16,$F6=19)),$AG6*(Прайс!$F$21-500),0))))))))))))))</f>
        <v>0</v>
      </c>
      <c r="AA6" s="178">
        <f>IF(Бланк!AD24=0,0,Бланк!AD24*E6)</f>
        <v>0</v>
      </c>
      <c r="AB6" s="178">
        <f>Бланк!AE24</f>
        <v>0</v>
      </c>
      <c r="AC6" s="175">
        <f>IF(OR(AA$3=0,$AA6=""),0,$AA6*Прайс!$D$49)</f>
        <v>0</v>
      </c>
      <c r="AD6" s="178">
        <f>Бланк!AF24</f>
        <v>0</v>
      </c>
      <c r="AE6" s="178">
        <f>Бланк!AG24</f>
        <v>0</v>
      </c>
      <c r="AF6" s="178">
        <f>Бланк!AH24</f>
        <v>0</v>
      </c>
      <c r="AG6" s="123">
        <f>Бланк!$AI24</f>
        <v>0</v>
      </c>
      <c r="AH6" s="183"/>
      <c r="AI6" s="183"/>
      <c r="AJ6" s="183"/>
      <c r="AK6" s="183"/>
      <c r="AL6" s="184"/>
      <c r="AM6" s="184"/>
      <c r="AN6" s="184"/>
      <c r="AO6" s="184"/>
      <c r="AP6" s="185"/>
    </row>
    <row r="7" spans="1:44" s="181" customFormat="1" ht="21" customHeight="1" x14ac:dyDescent="0.2">
      <c r="B7" s="182">
        <v>5</v>
      </c>
      <c r="C7" s="170" t="str">
        <f>IF(Бланк!$C25="","",Бланк!$C25/1000)</f>
        <v/>
      </c>
      <c r="D7" s="171" t="str">
        <f>IF(Бланк!$D25="","",Бланк!$D25/1000)</f>
        <v/>
      </c>
      <c r="E7" s="172" t="str">
        <f>IF(Бланк!E25="","",Бланк!E25)</f>
        <v/>
      </c>
      <c r="F7" s="172" t="str">
        <f>IF(Бланк!F25="","",Бланк!F25)</f>
        <v/>
      </c>
      <c r="G7" s="172" t="str">
        <f>IF(Бланк!H25="","",Бланк!H25)</f>
        <v/>
      </c>
      <c r="H7" s="172" t="str">
        <f>IF(Бланк!I25="","",Бланк!I25)</f>
        <v/>
      </c>
      <c r="I7" s="173" t="str">
        <f>IF(OR($C7="",$C7=0),"",IF($H7="Пряма з чвертю",(Прайс!$D$39+Прайс!$D$42)*Просчет!$E7,IF(Просчет!$H7="Пряма без чверті",Прайс!$D$39*Просчет!$E7,IF(AND(Просчет!$H7="Шпрос з чвертю",OR($C7&lt;1,$C7=1)),(Прайс!$D$40+Прайс!$D$43)*Просчет!$E7,IF(AND($H7="Шпрос з чвертю",$C7&gt;1),(Прайс!$F$40+Прайс!$D$43)*Просчет!$E7,IF(AND($H7="Шпрос без чверті",OR($C7&lt;1,$C7=1)),Прайс!$D$40*Просчет!$E7,IF(AND($H7="Шпрос без чверті",$C7&gt;1),Прайс!$F$40*Просчет!$E7,"")))))))</f>
        <v/>
      </c>
      <c r="J7" s="174" t="str">
        <f>IF(Бланк!$J25="","",Бланк!$J25/1000)</f>
        <v/>
      </c>
      <c r="K7" s="174">
        <f>Бланк!K25</f>
        <v>0</v>
      </c>
      <c r="L7" s="174">
        <f>Бланк!L25</f>
        <v>0</v>
      </c>
      <c r="M7" s="174">
        <f>Бланк!M25</f>
        <v>0</v>
      </c>
      <c r="N7" s="175">
        <f t="shared" si="0"/>
        <v>0</v>
      </c>
      <c r="O7" s="173">
        <f>IF($K7="","",IF(OR($K7="J № 1",$K7="J № 2",$K7="J № 2L",$K7="J № 2R",$K7="AJ № 2",$K7="AJ № 2L",$K7="AJ № 2R",$K7="U",$K7="V"),$N7*Прайс!$D$46,IF(OR($K7="AJ № 3R",$K7="AJ № 4R",$K7="AJ № 5R",$K7="AJ № 3L",$K7="AJ № 4L",$K7="AJ № 5L",$K7="AJ № 3",$K7="AJ № 4",$K7="AJ № 5",$K7="J № 3",$K7="J № 4",$K7="J № 5",$K7="J № 6",$K7="J № 7",$K7="L",$K7="AL"),Прайс!$D$47*$E7,IF(OR($K7="J № 3L",$K7="J № 3R",$K7="J № 4L",$K7="J № 4R",$K7="J № 5L",$K7="J № 5R"),$N7/2*Прайс!$D$47*$E7,IF($K7="45 град.",$N7*Прайс!$D$45,0)))))</f>
        <v>0</v>
      </c>
      <c r="P7" s="234">
        <f>IF($K7="",0,IF(OR($M7=$S7,$M7=0),0,$N7*Прайс!$D$62))</f>
        <v>0</v>
      </c>
      <c r="Q7" s="176">
        <f>Бланк!N25</f>
        <v>0</v>
      </c>
      <c r="R7" s="177">
        <f>Бланк!R25</f>
        <v>0</v>
      </c>
      <c r="S7" s="177">
        <f>Бланк!S25</f>
        <v>0</v>
      </c>
      <c r="T7" s="177" t="str">
        <f>IF(Бланк!T25="","",Бланк!T25)</f>
        <v/>
      </c>
      <c r="U7" s="177">
        <f>Бланк!U25</f>
        <v>0</v>
      </c>
      <c r="V7" s="177">
        <f>Бланк!AB25</f>
        <v>0</v>
      </c>
      <c r="W7" s="177">
        <f>Бланк!AC25</f>
        <v>0</v>
      </c>
      <c r="X7" s="175">
        <f>IF(OR($C7=0,$C7=""),0,IF(AND(OR($T7="",$T7=0),$V7="Матове",OR($F7=4,$F7=6,$F7=8,$F7=10,$F7=16)),$AG7*Прайс!$F$10,IF(AND(OR($T7="",$T7=0),$V7="Матове+акрил",OR($F7=4,$F7=6,$F7=8,$F7=10,$F7=16)),$AG7*Прайс!#REF!,IF(AND(OR($T7="",$T7=0),$V7="Софт(TS)",OR($F7=4,$F7=6,$F7=8,$F7=10,$F7=16)),$AG7*Прайс!$F$11,IF(AND(OR($T7="",$T7=0),$V7="Глянець",OR($F7=4,$F7=6,$F7=8,$F7=10,$F7=16)),$AG7*Прайс!$F$12,IF(AND(OR($T7="Перл.ср.",$T7="Перл.зол."),OR($F7=4,$F7=6,$F7=8,$F7=10,$F7=16)),$AG7*Прайс!$F$13,IF(AND($T7="Гума",OR($F7=4,$F7=6,$F7=8,$F7=10,$F7=16)),$AG7*Прайс!$F$14,IF(AND($T7="Металік",OR($F7=4,$F7=6,$F7=8,$F7=10,$F7=16)),$AG7*Прайс!$F$15,IF(AND($T7="Рідке скло",OR($F7=4,$F7=6,$F7=8,$F7=10,$F7=16)),$AG7*Прайс!$F$16,IF(AND(OR($T7="Перли",$T7="Графіт"),OR($F7=4,$F7=6,$F7=8,$F7=10,$F7=16)),$AG7*Прайс!$F$17,IF(AND(OR($T7="Зор.н.ср.",$T7="Зор.н.зол.",$T7="Зор.н.різн."),OR($F7=4,$F7=6,$F7=8,$F7=10,$F7=16)),$AG7*Прайс!$F$18,IF(AND(,$T7="2-х кол.х.",OR($F7=4,$F7=6,$F7=8,$F7=10,$F7=16)),$AG7*Прайс!$F$19,IF(AND($T7="3-х кол.х.",OR($F7=4,$F7=6,$F7=8,$F7=10,$F7=16)),$AG7*Прайс!$F$20,IF(AND($T7="Фотодрук",OR($F7=4,$F7=6,$F7=8,$F7=10,$F7=16)),$AG7*Прайс!$F$21,0))))))))))))))</f>
        <v>0</v>
      </c>
      <c r="Y7" s="175">
        <f>IF(OR($C7=0,$C7=""),0,IF(AND(OR($T7="",$T7=0),$V7="Матове",$F7=19),$AG7*Прайс!$G$10,IF(AND(OR($T7="",$T7=0),$V7="Матове+акрил",$F7=19),$AG7*Прайс!#REF!,IF(AND(OR($T7="",$T7=0),$V7="Софт(TS)",$F7=19),$AG7*Прайс!$G$11,IF(AND(OR($T7="",$T7=0),$V7="Глянець",$F7=19),$AG7*Прайс!$G$12,IF(AND(OR($T7="Перл.ср.",$T7="Перл.зол."),$F7=19),$AG7*Прайс!$G$13,IF(AND($T7="Гума",$F7=19),$AG7*Прайс!$G$14,IF(AND($T7="Металік",$F7=19),$AG7*Прайс!$G$15,IF(AND($T7="Рідке скло",$F7=19),$AG7*Прайс!$G$16,IF(AND(OR($T7="Перли",$T7="Графіт"),$F7=19),$AG7*Прайс!$G$17,IF(AND(OR($T7="Зор.н.ср.",$T7="Зор.н.зол.",$T7="Зор.н.різн."),$F7=19),$AG7*Прайс!$G$18,IF(AND($T7="2-х кол.х.",$F7=19),$AG7*Прайс!$G$19,IF(AND($T7="3-х кол.х.",$F7=19),$AG7*Прайс!$G$20,IF(AND($T7="Фотодрук",$F7=19),$AG7*Прайс!$G$21,0))))))))))))))</f>
        <v>0</v>
      </c>
      <c r="Z7" s="175">
        <f>IF(OR($C7=0,$C7=""),0,IF(AND(OR($T7="",$T7=0),$W7="Матове",OR($F7=4,$F7=6,$F7=8,$F7=10,$F7=16,$F7=19)),$AG7*(Прайс!$F$10-500),IF(AND(OR($T7="",$T7=0),$W7="Матове+акрил",OR($F7=4,$F7=6,$F7=8,$F7=10,$F7=16,$F7=19)),$AG7*(Прайс!#REF!-500),IF(AND(OR($T7="",$T7=0),$W7="Софт(TS)",OR($F7=4,$F7=6,$F7=8,$F7=10,$F7=16,$F7=19)),$AG7*(Прайс!$F$11-500),IF(AND(OR($T7="",$T7=0),$W7="Глянець",OR($F7=4,$F7=6,$F7=8,$F7=10,$F7=16,$F7=19)),$AG7*(Прайс!$F$12-500),IF(AND(OR($T7="Перл.ср.",$T7="Перл.зол."),OR($F7=4,$F7=6,$F7=8,$F7=10,$F7=16,$F7=19)),$AG7*(Прайс!$F$13-500),IF(AND($T7="Гума",OR($F7=4,$F7=6,$F7=8,$F7=10,$F7=16,$F7=19)),$AG7*(Прайс!$F$14-500),IF(AND($T7="Металік",OR($F7=4,$F7=6,$F7=8,$F7=10,$F7=16,$F7=19)),$AG7*(Прайс!$F$15-500),IF(AND($T7="Рідке скло",OR($F7=4,$F7=6,$F7=8,$F7=10,$F7=16,$F7=19)),$AG7*(Прайс!$F$16-500),IF(AND(OR($T7="Перли",$T7="Графіт"),OR($F7=4,$F7=6,$F7=8,$F7=10,$F7=16,$F7=19)),$AG7*(Прайс!$F$17-500),IF(AND(OR($T7="Зор.н.ср.",$T7="Зор.н.зол.",$T7="Зор.н.різн."),OR($F7=4,$F7=6,$F7=8,$F7=10,$F7=16,$F7=19)),$AG7*(Прайс!$F$18-500),IF(AND(,$T7="2-х кол.х.",OR($F7=4,$F7=6,$F7=8,$F7=10,$F7=16,$F7=19)),$AG7*(Прайс!$F$19-500),IF(AND($T7="3-х кол.х.",OR($F7=4,$F7=6,$F7=8,$F7=10,$F7=16,$F7=19)),$AG7*(Прайс!$F$20-500),IF(AND($T7="Фотодрук",OR($F7=4,$F7=6,$F7=8,$F7=10,$F7=16,$F7=19)),$AG7*(Прайс!$F$21-500),0))))))))))))))</f>
        <v>0</v>
      </c>
      <c r="AA7" s="178">
        <f>IF(Бланк!AD25=0,0,Бланк!AD25*E7)</f>
        <v>0</v>
      </c>
      <c r="AB7" s="178">
        <f>Бланк!AE25</f>
        <v>0</v>
      </c>
      <c r="AC7" s="175">
        <f>IF(OR(AA$3=0,$AA7=""),0,$AA7*Прайс!$D$49)</f>
        <v>0</v>
      </c>
      <c r="AD7" s="178">
        <f>Бланк!AF25</f>
        <v>0</v>
      </c>
      <c r="AE7" s="178">
        <f>Бланк!AG25</f>
        <v>0</v>
      </c>
      <c r="AF7" s="178">
        <f>Бланк!AH25</f>
        <v>0</v>
      </c>
      <c r="AG7" s="123">
        <f>Бланк!$AI25</f>
        <v>0</v>
      </c>
      <c r="AH7" s="183"/>
      <c r="AI7" s="183"/>
      <c r="AJ7" s="183"/>
      <c r="AK7" s="183"/>
      <c r="AL7" s="184"/>
      <c r="AM7" s="184"/>
      <c r="AN7" s="184"/>
      <c r="AO7" s="184"/>
      <c r="AP7" s="185"/>
    </row>
    <row r="8" spans="1:44" s="181" customFormat="1" ht="21" customHeight="1" x14ac:dyDescent="0.2">
      <c r="B8" s="182">
        <v>6</v>
      </c>
      <c r="C8" s="170" t="str">
        <f>IF(Бланк!$C26="","",Бланк!$C26/1000)</f>
        <v/>
      </c>
      <c r="D8" s="171" t="str">
        <f>IF(Бланк!$D26="","",Бланк!$D26/1000)</f>
        <v/>
      </c>
      <c r="E8" s="172" t="str">
        <f>IF(Бланк!E26="","",Бланк!E26)</f>
        <v/>
      </c>
      <c r="F8" s="172" t="str">
        <f>IF(Бланк!F26="","",Бланк!F26)</f>
        <v/>
      </c>
      <c r="G8" s="172" t="str">
        <f>IF(Бланк!H26="","",Бланк!H26)</f>
        <v/>
      </c>
      <c r="H8" s="172" t="str">
        <f>IF(Бланк!I26="","",Бланк!I26)</f>
        <v/>
      </c>
      <c r="I8" s="173" t="str">
        <f>IF(OR($C8="",$C8=0),"",IF($H8="Пряма з чвертю",(Прайс!$D$39+Прайс!$D$42)*Просчет!$E8,IF(Просчет!$H8="Пряма без чверті",Прайс!$D$39*Просчет!$E8,IF(AND(Просчет!$H8="Шпрос з чвертю",OR($C8&lt;1,$C8=1)),(Прайс!$D$40+Прайс!$D$43)*Просчет!$E8,IF(AND($H8="Шпрос з чвертю",$C8&gt;1),(Прайс!$F$40+Прайс!$D$43)*Просчет!$E8,IF(AND($H8="Шпрос без чверті",OR($C8&lt;1,$C8=1)),Прайс!$D$40*Просчет!$E8,IF(AND($H8="Шпрос без чверті",$C8&gt;1),Прайс!$F$40*Просчет!$E8,"")))))))</f>
        <v/>
      </c>
      <c r="J8" s="174" t="str">
        <f>IF(Бланк!$J26="","",Бланк!$J26/1000)</f>
        <v/>
      </c>
      <c r="K8" s="174">
        <f>Бланк!K26</f>
        <v>0</v>
      </c>
      <c r="L8" s="174">
        <f>Бланк!L26</f>
        <v>0</v>
      </c>
      <c r="M8" s="174">
        <f>Бланк!M26</f>
        <v>0</v>
      </c>
      <c r="N8" s="175">
        <f t="shared" si="0"/>
        <v>0</v>
      </c>
      <c r="O8" s="173">
        <f>IF($K8="","",IF(OR($K8="J № 1",$K8="J № 2",$K8="J № 2L",$K8="J № 2R",$K8="AJ № 2",$K8="AJ № 2L",$K8="AJ № 2R",$K8="U",$K8="V"),$N8*Прайс!$D$46,IF(OR($K8="AJ № 3R",$K8="AJ № 4R",$K8="AJ № 5R",$K8="AJ № 3L",$K8="AJ № 4L",$K8="AJ № 5L",$K8="AJ № 3",$K8="AJ № 4",$K8="AJ № 5",$K8="J № 3",$K8="J № 4",$K8="J № 5",$K8="J № 6",$K8="J № 7",$K8="L",$K8="AL"),Прайс!$D$47*$E8,IF(OR($K8="J № 3L",$K8="J № 3R",$K8="J № 4L",$K8="J № 4R",$K8="J № 5L",$K8="J № 5R"),$N8/2*Прайс!$D$47*$E8,IF($K8="45 град.",$N8*Прайс!$D$45,0)))))</f>
        <v>0</v>
      </c>
      <c r="P8" s="234">
        <f>IF($K8="",0,IF(OR($M8=$S8,$M8=0),0,$N8*Прайс!$D$62))</f>
        <v>0</v>
      </c>
      <c r="Q8" s="176">
        <f>Бланк!N26</f>
        <v>0</v>
      </c>
      <c r="R8" s="177">
        <f>Бланк!R26</f>
        <v>0</v>
      </c>
      <c r="S8" s="177">
        <f>Бланк!S26</f>
        <v>0</v>
      </c>
      <c r="T8" s="177" t="str">
        <f>IF(Бланк!T26="","",Бланк!T26)</f>
        <v/>
      </c>
      <c r="U8" s="177">
        <f>Бланк!U26</f>
        <v>0</v>
      </c>
      <c r="V8" s="177">
        <f>Бланк!AB26</f>
        <v>0</v>
      </c>
      <c r="W8" s="177">
        <f>Бланк!AC26</f>
        <v>0</v>
      </c>
      <c r="X8" s="175">
        <f>IF(OR($C8=0,$C8=""),0,IF(AND(OR($T8="",$T8=0),$V8="Матове",OR($F8=4,$F8=6,$F8=8,$F8=10,$F8=16)),$AG8*Прайс!$F$10,IF(AND(OR($T8="",$T8=0),$V8="Матове+акрил",OR($F8=4,$F8=6,$F8=8,$F8=10,$F8=16)),$AG8*Прайс!#REF!,IF(AND(OR($T8="",$T8=0),$V8="Софт(TS)",OR($F8=4,$F8=6,$F8=8,$F8=10,$F8=16)),$AG8*Прайс!$F$11,IF(AND(OR($T8="",$T8=0),$V8="Глянець",OR($F8=4,$F8=6,$F8=8,$F8=10,$F8=16)),$AG8*Прайс!$F$12,IF(AND(OR($T8="Перл.ср.",$T8="Перл.зол."),OR($F8=4,$F8=6,$F8=8,$F8=10,$F8=16)),$AG8*Прайс!$F$13,IF(AND($T8="Гума",OR($F8=4,$F8=6,$F8=8,$F8=10,$F8=16)),$AG8*Прайс!$F$14,IF(AND($T8="Металік",OR($F8=4,$F8=6,$F8=8,$F8=10,$F8=16)),$AG8*Прайс!$F$15,IF(AND($T8="Рідке скло",OR($F8=4,$F8=6,$F8=8,$F8=10,$F8=16)),$AG8*Прайс!$F$16,IF(AND(OR($T8="Перли",$T8="Графіт"),OR($F8=4,$F8=6,$F8=8,$F8=10,$F8=16)),$AG8*Прайс!$F$17,IF(AND(OR($T8="Зор.н.ср.",$T8="Зор.н.зол.",$T8="Зор.н.різн."),OR($F8=4,$F8=6,$F8=8,$F8=10,$F8=16)),$AG8*Прайс!$F$18,IF(AND(,$T8="2-х кол.х.",OR($F8=4,$F8=6,$F8=8,$F8=10,$F8=16)),$AG8*Прайс!$F$19,IF(AND($T8="3-х кол.х.",OR($F8=4,$F8=6,$F8=8,$F8=10,$F8=16)),$AG8*Прайс!$F$20,IF(AND($T8="Фотодрук",OR($F8=4,$F8=6,$F8=8,$F8=10,$F8=16)),$AG8*Прайс!$F$21,0))))))))))))))</f>
        <v>0</v>
      </c>
      <c r="Y8" s="175">
        <f>IF(OR($C8=0,$C8=""),0,IF(AND(OR($T8="",$T8=0),$V8="Матове",$F8=19),$AG8*Прайс!$G$10,IF(AND(OR($T8="",$T8=0),$V8="Матове+акрил",$F8=19),$AG8*Прайс!#REF!,IF(AND(OR($T8="",$T8=0),$V8="Софт(TS)",$F8=19),$AG8*Прайс!$G$11,IF(AND(OR($T8="",$T8=0),$V8="Глянець",$F8=19),$AG8*Прайс!$G$12,IF(AND(OR($T8="Перл.ср.",$T8="Перл.зол."),$F8=19),$AG8*Прайс!$G$13,IF(AND($T8="Гума",$F8=19),$AG8*Прайс!$G$14,IF(AND($T8="Металік",$F8=19),$AG8*Прайс!$G$15,IF(AND($T8="Рідке скло",$F8=19),$AG8*Прайс!$G$16,IF(AND(OR($T8="Перли",$T8="Графіт"),$F8=19),$AG8*Прайс!$G$17,IF(AND(OR($T8="Зор.н.ср.",$T8="Зор.н.зол.",$T8="Зор.н.різн."),$F8=19),$AG8*Прайс!$G$18,IF(AND($T8="2-х кол.х.",$F8=19),$AG8*Прайс!$G$19,IF(AND($T8="3-х кол.х.",$F8=19),$AG8*Прайс!$G$20,IF(AND($T8="Фотодрук",$F8=19),$AG8*Прайс!$G$21,0))))))))))))))</f>
        <v>0</v>
      </c>
      <c r="Z8" s="175">
        <f>IF(OR($C8=0,$C8=""),0,IF(AND(OR($T8="",$T8=0),$W8="Матове",OR($F8=4,$F8=6,$F8=8,$F8=10,$F8=16,$F8=19)),$AG8*(Прайс!$F$10-500),IF(AND(OR($T8="",$T8=0),$W8="Матове+акрил",OR($F8=4,$F8=6,$F8=8,$F8=10,$F8=16,$F8=19)),$AG8*(Прайс!#REF!-500),IF(AND(OR($T8="",$T8=0),$W8="Софт(TS)",OR($F8=4,$F8=6,$F8=8,$F8=10,$F8=16,$F8=19)),$AG8*(Прайс!$F$11-500),IF(AND(OR($T8="",$T8=0),$W8="Глянець",OR($F8=4,$F8=6,$F8=8,$F8=10,$F8=16,$F8=19)),$AG8*(Прайс!$F$12-500),IF(AND(OR($T8="Перл.ср.",$T8="Перл.зол."),OR($F8=4,$F8=6,$F8=8,$F8=10,$F8=16,$F8=19)),$AG8*(Прайс!$F$13-500),IF(AND($T8="Гума",OR($F8=4,$F8=6,$F8=8,$F8=10,$F8=16,$F8=19)),$AG8*(Прайс!$F$14-500),IF(AND($T8="Металік",OR($F8=4,$F8=6,$F8=8,$F8=10,$F8=16,$F8=19)),$AG8*(Прайс!$F$15-500),IF(AND($T8="Рідке скло",OR($F8=4,$F8=6,$F8=8,$F8=10,$F8=16,$F8=19)),$AG8*(Прайс!$F$16-500),IF(AND(OR($T8="Перли",$T8="Графіт"),OR($F8=4,$F8=6,$F8=8,$F8=10,$F8=16,$F8=19)),$AG8*(Прайс!$F$17-500),IF(AND(OR($T8="Зор.н.ср.",$T8="Зор.н.зол.",$T8="Зор.н.різн."),OR($F8=4,$F8=6,$F8=8,$F8=10,$F8=16,$F8=19)),$AG8*(Прайс!$F$18-500),IF(AND(,$T8="2-х кол.х.",OR($F8=4,$F8=6,$F8=8,$F8=10,$F8=16,$F8=19)),$AG8*(Прайс!$F$19-500),IF(AND($T8="3-х кол.х.",OR($F8=4,$F8=6,$F8=8,$F8=10,$F8=16,$F8=19)),$AG8*(Прайс!$F$20-500),IF(AND($T8="Фотодрук",OR($F8=4,$F8=6,$F8=8,$F8=10,$F8=16,$F8=19)),$AG8*(Прайс!$F$21-500),0))))))))))))))</f>
        <v>0</v>
      </c>
      <c r="AA8" s="178">
        <f>IF(Бланк!AD26=0,0,Бланк!AD26*E8)</f>
        <v>0</v>
      </c>
      <c r="AB8" s="178">
        <f>Бланк!AE26</f>
        <v>0</v>
      </c>
      <c r="AC8" s="175">
        <f>IF(OR(AA$3=0,$AA8=""),0,$AA8*Прайс!$D$49)</f>
        <v>0</v>
      </c>
      <c r="AD8" s="178">
        <f>Бланк!AF26</f>
        <v>0</v>
      </c>
      <c r="AE8" s="178">
        <f>Бланк!AG26</f>
        <v>0</v>
      </c>
      <c r="AF8" s="178">
        <f>Бланк!AH26</f>
        <v>0</v>
      </c>
      <c r="AG8" s="123">
        <f>Бланк!$AI26</f>
        <v>0</v>
      </c>
      <c r="AH8" s="183"/>
      <c r="AI8" s="183"/>
      <c r="AJ8" s="183"/>
      <c r="AK8" s="183"/>
      <c r="AL8" s="184"/>
      <c r="AM8" s="184"/>
      <c r="AN8" s="184"/>
      <c r="AO8" s="184"/>
      <c r="AP8" s="185"/>
    </row>
    <row r="9" spans="1:44" s="181" customFormat="1" ht="21" customHeight="1" x14ac:dyDescent="0.2">
      <c r="B9" s="182">
        <v>7</v>
      </c>
      <c r="C9" s="170" t="str">
        <f>IF(Бланк!$C27="","",Бланк!$C27/1000)</f>
        <v/>
      </c>
      <c r="D9" s="171" t="str">
        <f>IF(Бланк!$D27="","",Бланк!$D27/1000)</f>
        <v/>
      </c>
      <c r="E9" s="172" t="str">
        <f>IF(Бланк!E27="","",Бланк!E27)</f>
        <v/>
      </c>
      <c r="F9" s="172" t="str">
        <f>IF(Бланк!F27="","",Бланк!F27)</f>
        <v/>
      </c>
      <c r="G9" s="172" t="str">
        <f>IF(Бланк!H27="","",Бланк!H27)</f>
        <v/>
      </c>
      <c r="H9" s="172" t="str">
        <f>IF(Бланк!I27="","",Бланк!I27)</f>
        <v/>
      </c>
      <c r="I9" s="173" t="str">
        <f>IF(OR($C9="",$C9=0),"",IF($H9="Пряма з чвертю",(Прайс!$D$39+Прайс!$D$42)*Просчет!$E9,IF(Просчет!$H9="Пряма без чверті",Прайс!$D$39*Просчет!$E9,IF(AND(Просчет!$H9="Шпрос з чвертю",OR($C9&lt;1,$C9=1)),(Прайс!$D$40+Прайс!$D$43)*Просчет!$E9,IF(AND($H9="Шпрос з чвертю",$C9&gt;1),(Прайс!$F$40+Прайс!$D$43)*Просчет!$E9,IF(AND($H9="Шпрос без чверті",OR($C9&lt;1,$C9=1)),Прайс!$D$40*Просчет!$E9,IF(AND($H9="Шпрос без чверті",$C9&gt;1),Прайс!$F$40*Просчет!$E9,"")))))))</f>
        <v/>
      </c>
      <c r="J9" s="174" t="str">
        <f>IF(Бланк!$J27="","",Бланк!$J27/1000)</f>
        <v/>
      </c>
      <c r="K9" s="174">
        <f>Бланк!K27</f>
        <v>0</v>
      </c>
      <c r="L9" s="174">
        <f>Бланк!L27</f>
        <v>0</v>
      </c>
      <c r="M9" s="174">
        <f>Бланк!M27</f>
        <v>0</v>
      </c>
      <c r="N9" s="175">
        <f t="shared" si="0"/>
        <v>0</v>
      </c>
      <c r="O9" s="173">
        <f>IF($K9="","",IF(OR($K9="J № 1",$K9="J № 2",$K9="J № 2L",$K9="J № 2R",$K9="AJ № 2",$K9="AJ № 2L",$K9="AJ № 2R",$K9="U",$K9="V"),$N9*Прайс!$D$46,IF(OR($K9="AJ № 3R",$K9="AJ № 4R",$K9="AJ № 5R",$K9="AJ № 3L",$K9="AJ № 4L",$K9="AJ № 5L",$K9="AJ № 3",$K9="AJ № 4",$K9="AJ № 5",$K9="J № 3",$K9="J № 4",$K9="J № 5",$K9="J № 6",$K9="J № 7",$K9="L",$K9="AL"),Прайс!$D$47*$E9,IF(OR($K9="J № 3L",$K9="J № 3R",$K9="J № 4L",$K9="J № 4R",$K9="J № 5L",$K9="J № 5R"),$N9/2*Прайс!$D$47*$E9,IF($K9="45 град.",$N9*Прайс!$D$45,0)))))</f>
        <v>0</v>
      </c>
      <c r="P9" s="234">
        <f>IF($K9="",0,IF(OR($M9=$S9,$M9=0),0,$N9*Прайс!$D$62))</f>
        <v>0</v>
      </c>
      <c r="Q9" s="176">
        <f>Бланк!N27</f>
        <v>0</v>
      </c>
      <c r="R9" s="177">
        <f>Бланк!R27</f>
        <v>0</v>
      </c>
      <c r="S9" s="177">
        <f>Бланк!S27</f>
        <v>0</v>
      </c>
      <c r="T9" s="177" t="str">
        <f>IF(Бланк!T27="","",Бланк!T27)</f>
        <v/>
      </c>
      <c r="U9" s="177">
        <f>Бланк!U27</f>
        <v>0</v>
      </c>
      <c r="V9" s="177">
        <f>Бланк!AB27</f>
        <v>0</v>
      </c>
      <c r="W9" s="177">
        <f>Бланк!AC27</f>
        <v>0</v>
      </c>
      <c r="X9" s="175">
        <f>IF(OR($C9=0,$C9=""),0,IF(AND(OR($T9="",$T9=0),$V9="Матове",OR($F9=4,$F9=6,$F9=8,$F9=10,$F9=16)),$AG9*Прайс!$F$10,IF(AND(OR($T9="",$T9=0),$V9="Матове+акрил",OR($F9=4,$F9=6,$F9=8,$F9=10,$F9=16)),$AG9*Прайс!#REF!,IF(AND(OR($T9="",$T9=0),$V9="Софт(TS)",OR($F9=4,$F9=6,$F9=8,$F9=10,$F9=16)),$AG9*Прайс!$F$11,IF(AND(OR($T9="",$T9=0),$V9="Глянець",OR($F9=4,$F9=6,$F9=8,$F9=10,$F9=16)),$AG9*Прайс!$F$12,IF(AND(OR($T9="Перл.ср.",$T9="Перл.зол."),OR($F9=4,$F9=6,$F9=8,$F9=10,$F9=16)),$AG9*Прайс!$F$13,IF(AND($T9="Гума",OR($F9=4,$F9=6,$F9=8,$F9=10,$F9=16)),$AG9*Прайс!$F$14,IF(AND($T9="Металік",OR($F9=4,$F9=6,$F9=8,$F9=10,$F9=16)),$AG9*Прайс!$F$15,IF(AND($T9="Рідке скло",OR($F9=4,$F9=6,$F9=8,$F9=10,$F9=16)),$AG9*Прайс!$F$16,IF(AND(OR($T9="Перли",$T9="Графіт"),OR($F9=4,$F9=6,$F9=8,$F9=10,$F9=16)),$AG9*Прайс!$F$17,IF(AND(OR($T9="Зор.н.ср.",$T9="Зор.н.зол.",$T9="Зор.н.різн."),OR($F9=4,$F9=6,$F9=8,$F9=10,$F9=16)),$AG9*Прайс!$F$18,IF(AND(,$T9="2-х кол.х.",OR($F9=4,$F9=6,$F9=8,$F9=10,$F9=16)),$AG9*Прайс!$F$19,IF(AND($T9="3-х кол.х.",OR($F9=4,$F9=6,$F9=8,$F9=10,$F9=16)),$AG9*Прайс!$F$20,IF(AND($T9="Фотодрук",OR($F9=4,$F9=6,$F9=8,$F9=10,$F9=16)),$AG9*Прайс!$F$21,0))))))))))))))</f>
        <v>0</v>
      </c>
      <c r="Y9" s="175">
        <f>IF(OR($C9=0,$C9=""),0,IF(AND(OR($T9="",$T9=0),$V9="Матове",$F9=19),$AG9*Прайс!$G$10,IF(AND(OR($T9="",$T9=0),$V9="Матове+акрил",$F9=19),$AG9*Прайс!#REF!,IF(AND(OR($T9="",$T9=0),$V9="Софт(TS)",$F9=19),$AG9*Прайс!$G$11,IF(AND(OR($T9="",$T9=0),$V9="Глянець",$F9=19),$AG9*Прайс!$G$12,IF(AND(OR($T9="Перл.ср.",$T9="Перл.зол."),$F9=19),$AG9*Прайс!$G$13,IF(AND($T9="Гума",$F9=19),$AG9*Прайс!$G$14,IF(AND($T9="Металік",$F9=19),$AG9*Прайс!$G$15,IF(AND($T9="Рідке скло",$F9=19),$AG9*Прайс!$G$16,IF(AND(OR($T9="Перли",$T9="Графіт"),$F9=19),$AG9*Прайс!$G$17,IF(AND(OR($T9="Зор.н.ср.",$T9="Зор.н.зол.",$T9="Зор.н.різн."),$F9=19),$AG9*Прайс!$G$18,IF(AND($T9="2-х кол.х.",$F9=19),$AG9*Прайс!$G$19,IF(AND($T9="3-х кол.х.",$F9=19),$AG9*Прайс!$G$20,IF(AND($T9="Фотодрук",$F9=19),$AG9*Прайс!$G$21,0))))))))))))))</f>
        <v>0</v>
      </c>
      <c r="Z9" s="175">
        <f>IF(OR($C9=0,$C9=""),0,IF(AND(OR($T9="",$T9=0),$W9="Матове",OR($F9=4,$F9=6,$F9=8,$F9=10,$F9=16,$F9=19)),$AG9*(Прайс!$F$10-500),IF(AND(OR($T9="",$T9=0),$W9="Матове+акрил",OR($F9=4,$F9=6,$F9=8,$F9=10,$F9=16,$F9=19)),$AG9*(Прайс!#REF!-500),IF(AND(OR($T9="",$T9=0),$W9="Софт(TS)",OR($F9=4,$F9=6,$F9=8,$F9=10,$F9=16,$F9=19)),$AG9*(Прайс!$F$11-500),IF(AND(OR($T9="",$T9=0),$W9="Глянець",OR($F9=4,$F9=6,$F9=8,$F9=10,$F9=16,$F9=19)),$AG9*(Прайс!$F$12-500),IF(AND(OR($T9="Перл.ср.",$T9="Перл.зол."),OR($F9=4,$F9=6,$F9=8,$F9=10,$F9=16,$F9=19)),$AG9*(Прайс!$F$13-500),IF(AND($T9="Гума",OR($F9=4,$F9=6,$F9=8,$F9=10,$F9=16,$F9=19)),$AG9*(Прайс!$F$14-500),IF(AND($T9="Металік",OR($F9=4,$F9=6,$F9=8,$F9=10,$F9=16,$F9=19)),$AG9*(Прайс!$F$15-500),IF(AND($T9="Рідке скло",OR($F9=4,$F9=6,$F9=8,$F9=10,$F9=16,$F9=19)),$AG9*(Прайс!$F$16-500),IF(AND(OR($T9="Перли",$T9="Графіт"),OR($F9=4,$F9=6,$F9=8,$F9=10,$F9=16,$F9=19)),$AG9*(Прайс!$F$17-500),IF(AND(OR($T9="Зор.н.ср.",$T9="Зор.н.зол.",$T9="Зор.н.різн."),OR($F9=4,$F9=6,$F9=8,$F9=10,$F9=16,$F9=19)),$AG9*(Прайс!$F$18-500),IF(AND(,$T9="2-х кол.х.",OR($F9=4,$F9=6,$F9=8,$F9=10,$F9=16,$F9=19)),$AG9*(Прайс!$F$19-500),IF(AND($T9="3-х кол.х.",OR($F9=4,$F9=6,$F9=8,$F9=10,$F9=16,$F9=19)),$AG9*(Прайс!$F$20-500),IF(AND($T9="Фотодрук",OR($F9=4,$F9=6,$F9=8,$F9=10,$F9=16,$F9=19)),$AG9*(Прайс!$F$21-500),0))))))))))))))</f>
        <v>0</v>
      </c>
      <c r="AA9" s="178">
        <f>IF(Бланк!AD27=0,0,Бланк!AD27*E9)</f>
        <v>0</v>
      </c>
      <c r="AB9" s="178">
        <f>Бланк!AE27</f>
        <v>0</v>
      </c>
      <c r="AC9" s="175">
        <f>IF(OR(AA$3=0,$AA9=""),0,$AA9*Прайс!$D$49)</f>
        <v>0</v>
      </c>
      <c r="AD9" s="178">
        <f>Бланк!AF27</f>
        <v>0</v>
      </c>
      <c r="AE9" s="178">
        <f>Бланк!AG27</f>
        <v>0</v>
      </c>
      <c r="AF9" s="178">
        <f>Бланк!AH27</f>
        <v>0</v>
      </c>
      <c r="AG9" s="123">
        <f>Бланк!$AI27</f>
        <v>0</v>
      </c>
      <c r="AH9" s="183"/>
      <c r="AI9" s="183"/>
      <c r="AJ9" s="183"/>
      <c r="AK9" s="183"/>
      <c r="AL9" s="184"/>
      <c r="AM9" s="184"/>
      <c r="AN9" s="184"/>
      <c r="AO9" s="184"/>
      <c r="AP9" s="185"/>
    </row>
    <row r="10" spans="1:44" s="186" customFormat="1" ht="21" customHeight="1" x14ac:dyDescent="0.3">
      <c r="B10" s="182">
        <v>8</v>
      </c>
      <c r="C10" s="170" t="str">
        <f>IF(Бланк!$C28="","",Бланк!$C28/1000)</f>
        <v/>
      </c>
      <c r="D10" s="171" t="str">
        <f>IF(Бланк!$D28="","",Бланк!$D28/1000)</f>
        <v/>
      </c>
      <c r="E10" s="172" t="str">
        <f>IF(Бланк!E28="","",Бланк!E28)</f>
        <v/>
      </c>
      <c r="F10" s="172" t="str">
        <f>IF(Бланк!F28="","",Бланк!F28)</f>
        <v/>
      </c>
      <c r="G10" s="172" t="str">
        <f>IF(Бланк!H28="","",Бланк!H28)</f>
        <v/>
      </c>
      <c r="H10" s="172" t="str">
        <f>IF(Бланк!I28="","",Бланк!I28)</f>
        <v/>
      </c>
      <c r="I10" s="173" t="str">
        <f>IF(OR($C10="",$C10=0),"",IF($H10="Пряма з чвертю",(Прайс!$D$39+Прайс!$D$42)*Просчет!$E10,IF(Просчет!$H10="Пряма без чверті",Прайс!$D$39*Просчет!$E10,IF(AND(Просчет!$H10="Шпрос з чвертю",OR($C10&lt;1,$C10=1)),(Прайс!$D$40+Прайс!$D$43)*Просчет!$E10,IF(AND($H10="Шпрос з чвертю",$C10&gt;1),(Прайс!$F$40+Прайс!$D$43)*Просчет!$E10,IF(AND($H10="Шпрос без чверті",OR($C10&lt;1,$C10=1)),Прайс!$D$40*Просчет!$E10,IF(AND($H10="Шпрос без чверті",$C10&gt;1),Прайс!$F$40*Просчет!$E10,"")))))))</f>
        <v/>
      </c>
      <c r="J10" s="174" t="str">
        <f>IF(Бланк!$J28="","",Бланк!$J28/1000)</f>
        <v/>
      </c>
      <c r="K10" s="174">
        <f>Бланк!K28</f>
        <v>0</v>
      </c>
      <c r="L10" s="174">
        <f>Бланк!L28</f>
        <v>0</v>
      </c>
      <c r="M10" s="174">
        <f>Бланк!M28</f>
        <v>0</v>
      </c>
      <c r="N10" s="175">
        <f t="shared" si="0"/>
        <v>0</v>
      </c>
      <c r="O10" s="173">
        <f>IF($K10="","",IF(OR($K10="J № 1",$K10="J № 2",$K10="J № 2L",$K10="J № 2R",$K10="AJ № 2",$K10="AJ № 2L",$K10="AJ № 2R",$K10="U",$K10="V"),$N10*Прайс!$D$46,IF(OR($K10="AJ № 3R",$K10="AJ № 4R",$K10="AJ № 5R",$K10="AJ № 3L",$K10="AJ № 4L",$K10="AJ № 5L",$K10="AJ № 3",$K10="AJ № 4",$K10="AJ № 5",$K10="J № 3",$K10="J № 4",$K10="J № 5",$K10="J № 6",$K10="J № 7",$K10="L",$K10="AL"),Прайс!$D$47*$E10,IF(OR($K10="J № 3L",$K10="J № 3R",$K10="J № 4L",$K10="J № 4R",$K10="J № 5L",$K10="J № 5R"),$N10/2*Прайс!$D$47*$E10,IF($K10="45 град.",$N10*Прайс!$D$45,0)))))</f>
        <v>0</v>
      </c>
      <c r="P10" s="234">
        <f>IF($K10="",0,IF(OR($M10=$S10,$M10=0),0,$N10*Прайс!$D$62))</f>
        <v>0</v>
      </c>
      <c r="Q10" s="176">
        <f>Бланк!N28</f>
        <v>0</v>
      </c>
      <c r="R10" s="177">
        <f>Бланк!R28</f>
        <v>0</v>
      </c>
      <c r="S10" s="177">
        <f>Бланк!S28</f>
        <v>0</v>
      </c>
      <c r="T10" s="177" t="str">
        <f>IF(Бланк!T28="","",Бланк!T28)</f>
        <v/>
      </c>
      <c r="U10" s="177">
        <f>Бланк!U28</f>
        <v>0</v>
      </c>
      <c r="V10" s="177">
        <f>Бланк!AB28</f>
        <v>0</v>
      </c>
      <c r="W10" s="177">
        <f>Бланк!AC28</f>
        <v>0</v>
      </c>
      <c r="X10" s="175">
        <f>IF(OR($C10=0,$C10=""),0,IF(AND(OR($T10="",$T10=0),$V10="Матове",OR($F10=4,$F10=6,$F10=8,$F10=10,$F10=16)),$AG10*Прайс!$F$10,IF(AND(OR($T10="",$T10=0),$V10="Матове+акрил",OR($F10=4,$F10=6,$F10=8,$F10=10,$F10=16)),$AG10*Прайс!#REF!,IF(AND(OR($T10="",$T10=0),$V10="Софт(TS)",OR($F10=4,$F10=6,$F10=8,$F10=10,$F10=16)),$AG10*Прайс!$F$11,IF(AND(OR($T10="",$T10=0),$V10="Глянець",OR($F10=4,$F10=6,$F10=8,$F10=10,$F10=16)),$AG10*Прайс!$F$12,IF(AND(OR($T10="Перл.ср.",$T10="Перл.зол."),OR($F10=4,$F10=6,$F10=8,$F10=10,$F10=16)),$AG10*Прайс!$F$13,IF(AND($T10="Гума",OR($F10=4,$F10=6,$F10=8,$F10=10,$F10=16)),$AG10*Прайс!$F$14,IF(AND($T10="Металік",OR($F10=4,$F10=6,$F10=8,$F10=10,$F10=16)),$AG10*Прайс!$F$15,IF(AND($T10="Рідке скло",OR($F10=4,$F10=6,$F10=8,$F10=10,$F10=16)),$AG10*Прайс!$F$16,IF(AND(OR($T10="Перли",$T10="Графіт"),OR($F10=4,$F10=6,$F10=8,$F10=10,$F10=16)),$AG10*Прайс!$F$17,IF(AND(OR($T10="Зор.н.ср.",$T10="Зор.н.зол.",$T10="Зор.н.різн."),OR($F10=4,$F10=6,$F10=8,$F10=10,$F10=16)),$AG10*Прайс!$F$18,IF(AND(,$T10="2-х кол.х.",OR($F10=4,$F10=6,$F10=8,$F10=10,$F10=16)),$AG10*Прайс!$F$19,IF(AND($T10="3-х кол.х.",OR($F10=4,$F10=6,$F10=8,$F10=10,$F10=16)),$AG10*Прайс!$F$20,IF(AND($T10="Фотодрук",OR($F10=4,$F10=6,$F10=8,$F10=10,$F10=16)),$AG10*Прайс!$F$21,0))))))))))))))</f>
        <v>0</v>
      </c>
      <c r="Y10" s="175">
        <f>IF(OR($C10=0,$C10=""),0,IF(AND(OR($T10="",$T10=0),$V10="Матове",$F10=19),$AG10*Прайс!$G$10,IF(AND(OR($T10="",$T10=0),$V10="Матове+акрил",$F10=19),$AG10*Прайс!#REF!,IF(AND(OR($T10="",$T10=0),$V10="Софт(TS)",$F10=19),$AG10*Прайс!$G$11,IF(AND(OR($T10="",$T10=0),$V10="Глянець",$F10=19),$AG10*Прайс!$G$12,IF(AND(OR($T10="Перл.ср.",$T10="Перл.зол."),$F10=19),$AG10*Прайс!$G$13,IF(AND($T10="Гума",$F10=19),$AG10*Прайс!$G$14,IF(AND($T10="Металік",$F10=19),$AG10*Прайс!$G$15,IF(AND($T10="Рідке скло",$F10=19),$AG10*Прайс!$G$16,IF(AND(OR($T10="Перли",$T10="Графіт"),$F10=19),$AG10*Прайс!$G$17,IF(AND(OR($T10="Зор.н.ср.",$T10="Зор.н.зол.",$T10="Зор.н.різн."),$F10=19),$AG10*Прайс!$G$18,IF(AND($T10="2-х кол.х.",$F10=19),$AG10*Прайс!$G$19,IF(AND($T10="3-х кол.х.",$F10=19),$AG10*Прайс!$G$20,IF(AND($T10="Фотодрук",$F10=19),$AG10*Прайс!$G$21,0))))))))))))))</f>
        <v>0</v>
      </c>
      <c r="Z10" s="175">
        <f>IF(OR($C10=0,$C10=""),0,IF(AND(OR($T10="",$T10=0),$W10="Матове",OR($F10=4,$F10=6,$F10=8,$F10=10,$F10=16,$F10=19)),$AG10*(Прайс!$F$10-500),IF(AND(OR($T10="",$T10=0),$W10="Матове+акрил",OR($F10=4,$F10=6,$F10=8,$F10=10,$F10=16,$F10=19)),$AG10*(Прайс!#REF!-500),IF(AND(OR($T10="",$T10=0),$W10="Софт(TS)",OR($F10=4,$F10=6,$F10=8,$F10=10,$F10=16,$F10=19)),$AG10*(Прайс!$F$11-500),IF(AND(OR($T10="",$T10=0),$W10="Глянець",OR($F10=4,$F10=6,$F10=8,$F10=10,$F10=16,$F10=19)),$AG10*(Прайс!$F$12-500),IF(AND(OR($T10="Перл.ср.",$T10="Перл.зол."),OR($F10=4,$F10=6,$F10=8,$F10=10,$F10=16,$F10=19)),$AG10*(Прайс!$F$13-500),IF(AND($T10="Гума",OR($F10=4,$F10=6,$F10=8,$F10=10,$F10=16,$F10=19)),$AG10*(Прайс!$F$14-500),IF(AND($T10="Металік",OR($F10=4,$F10=6,$F10=8,$F10=10,$F10=16,$F10=19)),$AG10*(Прайс!$F$15-500),IF(AND($T10="Рідке скло",OR($F10=4,$F10=6,$F10=8,$F10=10,$F10=16,$F10=19)),$AG10*(Прайс!$F$16-500),IF(AND(OR($T10="Перли",$T10="Графіт"),OR($F10=4,$F10=6,$F10=8,$F10=10,$F10=16,$F10=19)),$AG10*(Прайс!$F$17-500),IF(AND(OR($T10="Зор.н.ср.",$T10="Зор.н.зол.",$T10="Зор.н.різн."),OR($F10=4,$F10=6,$F10=8,$F10=10,$F10=16,$F10=19)),$AG10*(Прайс!$F$18-500),IF(AND(,$T10="2-х кол.х.",OR($F10=4,$F10=6,$F10=8,$F10=10,$F10=16,$F10=19)),$AG10*(Прайс!$F$19-500),IF(AND($T10="3-х кол.х.",OR($F10=4,$F10=6,$F10=8,$F10=10,$F10=16,$F10=19)),$AG10*(Прайс!$F$20-500),IF(AND($T10="Фотодрук",OR($F10=4,$F10=6,$F10=8,$F10=10,$F10=16,$F10=19)),$AG10*(Прайс!$F$21-500),0))))))))))))))</f>
        <v>0</v>
      </c>
      <c r="AA10" s="178">
        <f>IF(Бланк!AD28=0,0,Бланк!AD28*E10)</f>
        <v>0</v>
      </c>
      <c r="AB10" s="178">
        <f>Бланк!AE28</f>
        <v>0</v>
      </c>
      <c r="AC10" s="175">
        <f>IF(OR(AA$3=0,$AA10=""),0,$AA10*Прайс!$D$49)</f>
        <v>0</v>
      </c>
      <c r="AD10" s="178">
        <f>Бланк!AF28</f>
        <v>0</v>
      </c>
      <c r="AE10" s="178">
        <f>Бланк!AG28</f>
        <v>0</v>
      </c>
      <c r="AF10" s="178">
        <f>Бланк!AH28</f>
        <v>0</v>
      </c>
      <c r="AG10" s="123">
        <f>Бланк!$AI28</f>
        <v>0</v>
      </c>
      <c r="AH10" s="183"/>
      <c r="AI10" s="183"/>
      <c r="AJ10" s="183"/>
      <c r="AK10" s="183"/>
      <c r="AL10" s="184"/>
      <c r="AM10" s="184"/>
      <c r="AN10" s="184"/>
      <c r="AO10" s="184"/>
      <c r="AP10" s="185"/>
      <c r="AQ10" s="181"/>
    </row>
    <row r="11" spans="1:44" s="186" customFormat="1" ht="21" customHeight="1" x14ac:dyDescent="0.3">
      <c r="B11" s="182">
        <v>9</v>
      </c>
      <c r="C11" s="170" t="str">
        <f>IF(Бланк!$C29="","",Бланк!$C29/1000)</f>
        <v/>
      </c>
      <c r="D11" s="171" t="str">
        <f>IF(Бланк!$D29="","",Бланк!$D29/1000)</f>
        <v/>
      </c>
      <c r="E11" s="172" t="str">
        <f>IF(Бланк!E29="","",Бланк!E29)</f>
        <v/>
      </c>
      <c r="F11" s="172" t="str">
        <f>IF(Бланк!F29="","",Бланк!F29)</f>
        <v/>
      </c>
      <c r="G11" s="172" t="str">
        <f>IF(Бланк!H29="","",Бланк!H29)</f>
        <v/>
      </c>
      <c r="H11" s="172" t="str">
        <f>IF(Бланк!I29="","",Бланк!I29)</f>
        <v/>
      </c>
      <c r="I11" s="173" t="str">
        <f>IF(OR($C11="",$C11=0),"",IF($H11="Пряма з чвертю",(Прайс!$D$39+Прайс!$D$42)*Просчет!$E11,IF(Просчет!$H11="Пряма без чверті",Прайс!$D$39*Просчет!$E11,IF(AND(Просчет!$H11="Шпрос з чвертю",OR($C11&lt;1,$C11=1)),(Прайс!$D$40+Прайс!$D$43)*Просчет!$E11,IF(AND($H11="Шпрос з чвертю",$C11&gt;1),(Прайс!$F$40+Прайс!$D$43)*Просчет!$E11,IF(AND($H11="Шпрос без чверті",OR($C11&lt;1,$C11=1)),Прайс!$D$40*Просчет!$E11,IF(AND($H11="Шпрос без чверті",$C11&gt;1),Прайс!$F$40*Просчет!$E11,"")))))))</f>
        <v/>
      </c>
      <c r="J11" s="174" t="str">
        <f>IF(Бланк!$J29="","",Бланк!$J29/1000)</f>
        <v/>
      </c>
      <c r="K11" s="174">
        <f>Бланк!K29</f>
        <v>0</v>
      </c>
      <c r="L11" s="174">
        <f>Бланк!L29</f>
        <v>0</v>
      </c>
      <c r="M11" s="174">
        <f>Бланк!M29</f>
        <v>0</v>
      </c>
      <c r="N11" s="175">
        <f t="shared" si="0"/>
        <v>0</v>
      </c>
      <c r="O11" s="173">
        <f>IF($K11="","",IF(OR($K11="J № 1",$K11="J № 2",$K11="J № 2L",$K11="J № 2R",$K11="AJ № 2",$K11="AJ № 2L",$K11="AJ № 2R",$K11="U",$K11="V"),$N11*Прайс!$D$46,IF(OR($K11="AJ № 3R",$K11="AJ № 4R",$K11="AJ № 5R",$K11="AJ № 3L",$K11="AJ № 4L",$K11="AJ № 5L",$K11="AJ № 3",$K11="AJ № 4",$K11="AJ № 5",$K11="J № 3",$K11="J № 4",$K11="J № 5",$K11="J № 6",$K11="J № 7",$K11="L",$K11="AL"),Прайс!$D$47*$E11,IF(OR($K11="J № 3L",$K11="J № 3R",$K11="J № 4L",$K11="J № 4R",$K11="J № 5L",$K11="J № 5R"),$N11/2*Прайс!$D$47*$E11,IF($K11="45 град.",$N11*Прайс!$D$45,0)))))</f>
        <v>0</v>
      </c>
      <c r="P11" s="234">
        <f>IF($K11="",0,IF(OR($M11=$S11,$M11=0),0,$N11*Прайс!$D$62))</f>
        <v>0</v>
      </c>
      <c r="Q11" s="176">
        <f>Бланк!N29</f>
        <v>0</v>
      </c>
      <c r="R11" s="177">
        <f>Бланк!R29</f>
        <v>0</v>
      </c>
      <c r="S11" s="177">
        <f>Бланк!S29</f>
        <v>0</v>
      </c>
      <c r="T11" s="177" t="str">
        <f>IF(Бланк!T29="","",Бланк!T29)</f>
        <v/>
      </c>
      <c r="U11" s="177">
        <f>Бланк!U29</f>
        <v>0</v>
      </c>
      <c r="V11" s="177">
        <f>Бланк!AB29</f>
        <v>0</v>
      </c>
      <c r="W11" s="177">
        <f>Бланк!AC29</f>
        <v>0</v>
      </c>
      <c r="X11" s="175">
        <f>IF(OR($C11=0,$C11=""),0,IF(AND(OR($T11="",$T11=0),$V11="Матове",OR($F11=4,$F11=6,$F11=8,$F11=10,$F11=16)),$AG11*Прайс!$F$10,IF(AND(OR($T11="",$T11=0),$V11="Матове+акрил",OR($F11=4,$F11=6,$F11=8,$F11=10,$F11=16)),$AG11*Прайс!#REF!,IF(AND(OR($T11="",$T11=0),$V11="Софт(TS)",OR($F11=4,$F11=6,$F11=8,$F11=10,$F11=16)),$AG11*Прайс!$F$11,IF(AND(OR($T11="",$T11=0),$V11="Глянець",OR($F11=4,$F11=6,$F11=8,$F11=10,$F11=16)),$AG11*Прайс!$F$12,IF(AND(OR($T11="Перл.ср.",$T11="Перл.зол."),OR($F11=4,$F11=6,$F11=8,$F11=10,$F11=16)),$AG11*Прайс!$F$13,IF(AND($T11="Гума",OR($F11=4,$F11=6,$F11=8,$F11=10,$F11=16)),$AG11*Прайс!$F$14,IF(AND($T11="Металік",OR($F11=4,$F11=6,$F11=8,$F11=10,$F11=16)),$AG11*Прайс!$F$15,IF(AND($T11="Рідке скло",OR($F11=4,$F11=6,$F11=8,$F11=10,$F11=16)),$AG11*Прайс!$F$16,IF(AND(OR($T11="Перли",$T11="Графіт"),OR($F11=4,$F11=6,$F11=8,$F11=10,$F11=16)),$AG11*Прайс!$F$17,IF(AND(OR($T11="Зор.н.ср.",$T11="Зор.н.зол.",$T11="Зор.н.різн."),OR($F11=4,$F11=6,$F11=8,$F11=10,$F11=16)),$AG11*Прайс!$F$18,IF(AND(,$T11="2-х кол.х.",OR($F11=4,$F11=6,$F11=8,$F11=10,$F11=16)),$AG11*Прайс!$F$19,IF(AND($T11="3-х кол.х.",OR($F11=4,$F11=6,$F11=8,$F11=10,$F11=16)),$AG11*Прайс!$F$20,IF(AND($T11="Фотодрук",OR($F11=4,$F11=6,$F11=8,$F11=10,$F11=16)),$AG11*Прайс!$F$21,0))))))))))))))</f>
        <v>0</v>
      </c>
      <c r="Y11" s="175">
        <f>IF(OR($C11=0,$C11=""),0,IF(AND(OR($T11="",$T11=0),$V11="Матове",$F11=19),$AG11*Прайс!$G$10,IF(AND(OR($T11="",$T11=0),$V11="Матове+акрил",$F11=19),$AG11*Прайс!#REF!,IF(AND(OR($T11="",$T11=0),$V11="Софт(TS)",$F11=19),$AG11*Прайс!$G$11,IF(AND(OR($T11="",$T11=0),$V11="Глянець",$F11=19),$AG11*Прайс!$G$12,IF(AND(OR($T11="Перл.ср.",$T11="Перл.зол."),$F11=19),$AG11*Прайс!$G$13,IF(AND($T11="Гума",$F11=19),$AG11*Прайс!$G$14,IF(AND($T11="Металік",$F11=19),$AG11*Прайс!$G$15,IF(AND($T11="Рідке скло",$F11=19),$AG11*Прайс!$G$16,IF(AND(OR($T11="Перли",$T11="Графіт"),$F11=19),$AG11*Прайс!$G$17,IF(AND(OR($T11="Зор.н.ср.",$T11="Зор.н.зол.",$T11="Зор.н.різн."),$F11=19),$AG11*Прайс!$G$18,IF(AND($T11="2-х кол.х.",$F11=19),$AG11*Прайс!$G$19,IF(AND($T11="3-х кол.х.",$F11=19),$AG11*Прайс!$G$20,IF(AND($T11="Фотодрук",$F11=19),$AG11*Прайс!$G$21,0))))))))))))))</f>
        <v>0</v>
      </c>
      <c r="Z11" s="175">
        <f>IF(OR($C11=0,$C11=""),0,IF(AND(OR($T11="",$T11=0),$W11="Матове",OR($F11=4,$F11=6,$F11=8,$F11=10,$F11=16,$F11=19)),$AG11*(Прайс!$F$10-500),IF(AND(OR($T11="",$T11=0),$W11="Матове+акрил",OR($F11=4,$F11=6,$F11=8,$F11=10,$F11=16,$F11=19)),$AG11*(Прайс!#REF!-500),IF(AND(OR($T11="",$T11=0),$W11="Софт(TS)",OR($F11=4,$F11=6,$F11=8,$F11=10,$F11=16,$F11=19)),$AG11*(Прайс!$F$11-500),IF(AND(OR($T11="",$T11=0),$W11="Глянець",OR($F11=4,$F11=6,$F11=8,$F11=10,$F11=16,$F11=19)),$AG11*(Прайс!$F$12-500),IF(AND(OR($T11="Перл.ср.",$T11="Перл.зол."),OR($F11=4,$F11=6,$F11=8,$F11=10,$F11=16,$F11=19)),$AG11*(Прайс!$F$13-500),IF(AND($T11="Гума",OR($F11=4,$F11=6,$F11=8,$F11=10,$F11=16,$F11=19)),$AG11*(Прайс!$F$14-500),IF(AND($T11="Металік",OR($F11=4,$F11=6,$F11=8,$F11=10,$F11=16,$F11=19)),$AG11*(Прайс!$F$15-500),IF(AND($T11="Рідке скло",OR($F11=4,$F11=6,$F11=8,$F11=10,$F11=16,$F11=19)),$AG11*(Прайс!$F$16-500),IF(AND(OR($T11="Перли",$T11="Графіт"),OR($F11=4,$F11=6,$F11=8,$F11=10,$F11=16,$F11=19)),$AG11*(Прайс!$F$17-500),IF(AND(OR($T11="Зор.н.ср.",$T11="Зор.н.зол.",$T11="Зор.н.різн."),OR($F11=4,$F11=6,$F11=8,$F11=10,$F11=16,$F11=19)),$AG11*(Прайс!$F$18-500),IF(AND(,$T11="2-х кол.х.",OR($F11=4,$F11=6,$F11=8,$F11=10,$F11=16,$F11=19)),$AG11*(Прайс!$F$19-500),IF(AND($T11="3-х кол.х.",OR($F11=4,$F11=6,$F11=8,$F11=10,$F11=16,$F11=19)),$AG11*(Прайс!$F$20-500),IF(AND($T11="Фотодрук",OR($F11=4,$F11=6,$F11=8,$F11=10,$F11=16,$F11=19)),$AG11*(Прайс!$F$21-500),0))))))))))))))</f>
        <v>0</v>
      </c>
      <c r="AA11" s="178">
        <f>IF(Бланк!AD29=0,0,Бланк!AD29*E11)</f>
        <v>0</v>
      </c>
      <c r="AB11" s="178">
        <f>Бланк!AE29</f>
        <v>0</v>
      </c>
      <c r="AC11" s="175">
        <f>IF(OR(AA$3=0,$AA11=""),0,$AA11*Прайс!$D$49)</f>
        <v>0</v>
      </c>
      <c r="AD11" s="178">
        <f>Бланк!AF29</f>
        <v>0</v>
      </c>
      <c r="AE11" s="178">
        <f>Бланк!AG29</f>
        <v>0</v>
      </c>
      <c r="AF11" s="178">
        <f>Бланк!AH29</f>
        <v>0</v>
      </c>
      <c r="AG11" s="123">
        <f>Бланк!$AI29</f>
        <v>0</v>
      </c>
      <c r="AH11" s="183"/>
      <c r="AI11" s="183"/>
      <c r="AJ11" s="183"/>
      <c r="AK11" s="183"/>
      <c r="AL11" s="184"/>
      <c r="AM11" s="184"/>
      <c r="AN11" s="184"/>
      <c r="AO11" s="184"/>
      <c r="AP11" s="185"/>
      <c r="AQ11" s="181"/>
    </row>
    <row r="12" spans="1:44" s="186" customFormat="1" ht="21" customHeight="1" x14ac:dyDescent="0.3">
      <c r="B12" s="182">
        <v>10</v>
      </c>
      <c r="C12" s="170" t="str">
        <f>IF(Бланк!$C30="","",Бланк!$C30/1000)</f>
        <v/>
      </c>
      <c r="D12" s="171" t="str">
        <f>IF(Бланк!$D30="","",Бланк!$D30/1000)</f>
        <v/>
      </c>
      <c r="E12" s="172" t="str">
        <f>IF(Бланк!E30="","",Бланк!E30)</f>
        <v/>
      </c>
      <c r="F12" s="172" t="str">
        <f>IF(Бланк!F30="","",Бланк!F30)</f>
        <v/>
      </c>
      <c r="G12" s="172" t="str">
        <f>IF(Бланк!H30="","",Бланк!H30)</f>
        <v/>
      </c>
      <c r="H12" s="172" t="str">
        <f>IF(Бланк!I30="","",Бланк!I30)</f>
        <v/>
      </c>
      <c r="I12" s="173" t="str">
        <f>IF(OR($C12="",$C12=0),"",IF($H12="Пряма з чвертю",(Прайс!$D$39+Прайс!$D$42)*Просчет!$E12,IF(Просчет!$H12="Пряма без чверті",Прайс!$D$39*Просчет!$E12,IF(AND(Просчет!$H12="Шпрос з чвертю",OR($C12&lt;1,$C12=1)),(Прайс!$D$40+Прайс!$D$43)*Просчет!$E12,IF(AND($H12="Шпрос з чвертю",$C12&gt;1),(Прайс!$F$40+Прайс!$D$43)*Просчет!$E12,IF(AND($H12="Шпрос без чверті",OR($C12&lt;1,$C12=1)),Прайс!$D$40*Просчет!$E12,IF(AND($H12="Шпрос без чверті",$C12&gt;1),Прайс!$F$40*Просчет!$E12,"")))))))</f>
        <v/>
      </c>
      <c r="J12" s="174" t="str">
        <f>IF(Бланк!$J30="","",Бланк!$J30/1000)</f>
        <v/>
      </c>
      <c r="K12" s="174">
        <f>Бланк!K30</f>
        <v>0</v>
      </c>
      <c r="L12" s="174">
        <f>Бланк!L30</f>
        <v>0</v>
      </c>
      <c r="M12" s="174">
        <f>Бланк!M30</f>
        <v>0</v>
      </c>
      <c r="N12" s="175">
        <f t="shared" si="0"/>
        <v>0</v>
      </c>
      <c r="O12" s="173">
        <f>IF($K12="","",IF(OR($K12="J № 1",$K12="J № 2",$K12="J № 2L",$K12="J № 2R",$K12="AJ № 2",$K12="AJ № 2L",$K12="AJ № 2R",$K12="U",$K12="V"),$N12*Прайс!$D$46,IF(OR($K12="AJ № 3R",$K12="AJ № 4R",$K12="AJ № 5R",$K12="AJ № 3L",$K12="AJ № 4L",$K12="AJ № 5L",$K12="AJ № 3",$K12="AJ № 4",$K12="AJ № 5",$K12="J № 3",$K12="J № 4",$K12="J № 5",$K12="J № 6",$K12="J № 7",$K12="L",$K12="AL"),Прайс!$D$47*$E12,IF(OR($K12="J № 3L",$K12="J № 3R",$K12="J № 4L",$K12="J № 4R",$K12="J № 5L",$K12="J № 5R"),$N12/2*Прайс!$D$47*$E12,IF($K12="45 град.",$N12*Прайс!$D$45,0)))))</f>
        <v>0</v>
      </c>
      <c r="P12" s="234">
        <f>IF($K12="",0,IF(OR($M12=$S12,$M12=0),0,$N12*Прайс!$D$62))</f>
        <v>0</v>
      </c>
      <c r="Q12" s="176">
        <f>Бланк!N30</f>
        <v>0</v>
      </c>
      <c r="R12" s="177">
        <f>Бланк!R30</f>
        <v>0</v>
      </c>
      <c r="S12" s="177">
        <f>Бланк!S30</f>
        <v>0</v>
      </c>
      <c r="T12" s="177" t="str">
        <f>IF(Бланк!T30="","",Бланк!T30)</f>
        <v/>
      </c>
      <c r="U12" s="177">
        <f>Бланк!U30</f>
        <v>0</v>
      </c>
      <c r="V12" s="177">
        <f>Бланк!AB30</f>
        <v>0</v>
      </c>
      <c r="W12" s="177">
        <f>Бланк!AC30</f>
        <v>0</v>
      </c>
      <c r="X12" s="175">
        <f>IF(OR($C12=0,$C12=""),0,IF(AND(OR($T12="",$T12=0),$V12="Матове",OR($F12=4,$F12=6,$F12=8,$F12=10,$F12=16)),$AG12*Прайс!$F$10,IF(AND(OR($T12="",$T12=0),$V12="Матове+акрил",OR($F12=4,$F12=6,$F12=8,$F12=10,$F12=16)),$AG12*Прайс!#REF!,IF(AND(OR($T12="",$T12=0),$V12="Софт(TS)",OR($F12=4,$F12=6,$F12=8,$F12=10,$F12=16)),$AG12*Прайс!$F$11,IF(AND(OR($T12="",$T12=0),$V12="Глянець",OR($F12=4,$F12=6,$F12=8,$F12=10,$F12=16)),$AG12*Прайс!$F$12,IF(AND(OR($T12="Перл.ср.",$T12="Перл.зол."),OR($F12=4,$F12=6,$F12=8,$F12=10,$F12=16)),$AG12*Прайс!$F$13,IF(AND($T12="Гума",OR($F12=4,$F12=6,$F12=8,$F12=10,$F12=16)),$AG12*Прайс!$F$14,IF(AND($T12="Металік",OR($F12=4,$F12=6,$F12=8,$F12=10,$F12=16)),$AG12*Прайс!$F$15,IF(AND($T12="Рідке скло",OR($F12=4,$F12=6,$F12=8,$F12=10,$F12=16)),$AG12*Прайс!$F$16,IF(AND(OR($T12="Перли",$T12="Графіт"),OR($F12=4,$F12=6,$F12=8,$F12=10,$F12=16)),$AG12*Прайс!$F$17,IF(AND(OR($T12="Зор.н.ср.",$T12="Зор.н.зол.",$T12="Зор.н.різн."),OR($F12=4,$F12=6,$F12=8,$F12=10,$F12=16)),$AG12*Прайс!$F$18,IF(AND(,$T12="2-х кол.х.",OR($F12=4,$F12=6,$F12=8,$F12=10,$F12=16)),$AG12*Прайс!$F$19,IF(AND($T12="3-х кол.х.",OR($F12=4,$F12=6,$F12=8,$F12=10,$F12=16)),$AG12*Прайс!$F$20,IF(AND($T12="Фотодрук",OR($F12=4,$F12=6,$F12=8,$F12=10,$F12=16)),$AG12*Прайс!$F$21,0))))))))))))))</f>
        <v>0</v>
      </c>
      <c r="Y12" s="175">
        <f>IF(OR($C12=0,$C12=""),0,IF(AND(OR($T12="",$T12=0),$V12="Матове",$F12=19),$AG12*Прайс!$G$10,IF(AND(OR($T12="",$T12=0),$V12="Матове+акрил",$F12=19),$AG12*Прайс!#REF!,IF(AND(OR($T12="",$T12=0),$V12="Софт(TS)",$F12=19),$AG12*Прайс!$G$11,IF(AND(OR($T12="",$T12=0),$V12="Глянець",$F12=19),$AG12*Прайс!$G$12,IF(AND(OR($T12="Перл.ср.",$T12="Перл.зол."),$F12=19),$AG12*Прайс!$G$13,IF(AND($T12="Гума",$F12=19),$AG12*Прайс!$G$14,IF(AND($T12="Металік",$F12=19),$AG12*Прайс!$G$15,IF(AND($T12="Рідке скло",$F12=19),$AG12*Прайс!$G$16,IF(AND(OR($T12="Перли",$T12="Графіт"),$F12=19),$AG12*Прайс!$G$17,IF(AND(OR($T12="Зор.н.ср.",$T12="Зор.н.зол.",$T12="Зор.н.різн."),$F12=19),$AG12*Прайс!$G$18,IF(AND($T12="2-х кол.х.",$F12=19),$AG12*Прайс!$G$19,IF(AND($T12="3-х кол.х.",$F12=19),$AG12*Прайс!$G$20,IF(AND($T12="Фотодрук",$F12=19),$AG12*Прайс!$G$21,0))))))))))))))</f>
        <v>0</v>
      </c>
      <c r="Z12" s="175">
        <f>IF(OR($C12=0,$C12=""),0,IF(AND(OR($T12="",$T12=0),$W12="Матове",OR($F12=4,$F12=6,$F12=8,$F12=10,$F12=16,$F12=19)),$AG12*(Прайс!$F$10-500),IF(AND(OR($T12="",$T12=0),$W12="Матове+акрил",OR($F12=4,$F12=6,$F12=8,$F12=10,$F12=16,$F12=19)),$AG12*(Прайс!#REF!-500),IF(AND(OR($T12="",$T12=0),$W12="Софт(TS)",OR($F12=4,$F12=6,$F12=8,$F12=10,$F12=16,$F12=19)),$AG12*(Прайс!$F$11-500),IF(AND(OR($T12="",$T12=0),$W12="Глянець",OR($F12=4,$F12=6,$F12=8,$F12=10,$F12=16,$F12=19)),$AG12*(Прайс!$F$12-500),IF(AND(OR($T12="Перл.ср.",$T12="Перл.зол."),OR($F12=4,$F12=6,$F12=8,$F12=10,$F12=16,$F12=19)),$AG12*(Прайс!$F$13-500),IF(AND($T12="Гума",OR($F12=4,$F12=6,$F12=8,$F12=10,$F12=16,$F12=19)),$AG12*(Прайс!$F$14-500),IF(AND($T12="Металік",OR($F12=4,$F12=6,$F12=8,$F12=10,$F12=16,$F12=19)),$AG12*(Прайс!$F$15-500),IF(AND($T12="Рідке скло",OR($F12=4,$F12=6,$F12=8,$F12=10,$F12=16,$F12=19)),$AG12*(Прайс!$F$16-500),IF(AND(OR($T12="Перли",$T12="Графіт"),OR($F12=4,$F12=6,$F12=8,$F12=10,$F12=16,$F12=19)),$AG12*(Прайс!$F$17-500),IF(AND(OR($T12="Зор.н.ср.",$T12="Зор.н.зол.",$T12="Зор.н.різн."),OR($F12=4,$F12=6,$F12=8,$F12=10,$F12=16,$F12=19)),$AG12*(Прайс!$F$18-500),IF(AND(,$T12="2-х кол.х.",OR($F12=4,$F12=6,$F12=8,$F12=10,$F12=16,$F12=19)),$AG12*(Прайс!$F$19-500),IF(AND($T12="3-х кол.х.",OR($F12=4,$F12=6,$F12=8,$F12=10,$F12=16,$F12=19)),$AG12*(Прайс!$F$20-500),IF(AND($T12="Фотодрук",OR($F12=4,$F12=6,$F12=8,$F12=10,$F12=16,$F12=19)),$AG12*(Прайс!$F$21-500),0))))))))))))))</f>
        <v>0</v>
      </c>
      <c r="AA12" s="178">
        <f>IF(Бланк!AD30=0,0,Бланк!AD30*E12)</f>
        <v>0</v>
      </c>
      <c r="AB12" s="178">
        <f>Бланк!AE30</f>
        <v>0</v>
      </c>
      <c r="AC12" s="175">
        <f>IF(OR(AA$3=0,$AA12=""),0,$AA12*Прайс!$D$49)</f>
        <v>0</v>
      </c>
      <c r="AD12" s="178">
        <f>Бланк!AF30</f>
        <v>0</v>
      </c>
      <c r="AE12" s="178">
        <f>Бланк!AG30</f>
        <v>0</v>
      </c>
      <c r="AF12" s="178">
        <f>Бланк!AH30</f>
        <v>0</v>
      </c>
      <c r="AG12" s="123">
        <f>Бланк!$AI30</f>
        <v>0</v>
      </c>
      <c r="AH12" s="183"/>
      <c r="AI12" s="183"/>
      <c r="AJ12" s="183"/>
      <c r="AK12" s="183"/>
      <c r="AL12" s="184"/>
      <c r="AM12" s="184"/>
      <c r="AN12" s="184"/>
      <c r="AO12" s="184"/>
      <c r="AP12" s="185"/>
      <c r="AQ12" s="181"/>
    </row>
    <row r="13" spans="1:44" s="186" customFormat="1" ht="21" customHeight="1" x14ac:dyDescent="0.3">
      <c r="B13" s="182">
        <v>11</v>
      </c>
      <c r="C13" s="170" t="str">
        <f>IF(Бланк!$C31="","",Бланк!$C31/1000)</f>
        <v/>
      </c>
      <c r="D13" s="171" t="str">
        <f>IF(Бланк!$D31="","",Бланк!$D31/1000)</f>
        <v/>
      </c>
      <c r="E13" s="172" t="str">
        <f>IF(Бланк!E31="","",Бланк!E31)</f>
        <v/>
      </c>
      <c r="F13" s="172" t="str">
        <f>IF(Бланк!F31="","",Бланк!F31)</f>
        <v/>
      </c>
      <c r="G13" s="172" t="str">
        <f>IF(Бланк!H31="","",Бланк!H31)</f>
        <v/>
      </c>
      <c r="H13" s="172" t="str">
        <f>IF(Бланк!I31="","",Бланк!I31)</f>
        <v/>
      </c>
      <c r="I13" s="173" t="str">
        <f>IF(OR($C13="",$C13=0),"",IF($H13="Пряма з чвертю",(Прайс!$D$39+Прайс!$D$42)*Просчет!$E13,IF(Просчет!$H13="Пряма без чверті",Прайс!$D$39*Просчет!$E13,IF(AND(Просчет!$H13="Шпрос з чвертю",OR($C13&lt;1,$C13=1)),(Прайс!$D$40+Прайс!$D$43)*Просчет!$E13,IF(AND($H13="Шпрос з чвертю",$C13&gt;1),(Прайс!$F$40+Прайс!$D$43)*Просчет!$E13,IF(AND($H13="Шпрос без чверті",OR($C13&lt;1,$C13=1)),Прайс!$D$40*Просчет!$E13,IF(AND($H13="Шпрос без чверті",$C13&gt;1),Прайс!$F$40*Просчет!$E13,"")))))))</f>
        <v/>
      </c>
      <c r="J13" s="174" t="str">
        <f>IF(Бланк!$J31="","",Бланк!$J31/1000)</f>
        <v/>
      </c>
      <c r="K13" s="174">
        <f>Бланк!K31</f>
        <v>0</v>
      </c>
      <c r="L13" s="174">
        <f>Бланк!L31</f>
        <v>0</v>
      </c>
      <c r="M13" s="174">
        <f>Бланк!M31</f>
        <v>0</v>
      </c>
      <c r="N13" s="175">
        <f t="shared" si="0"/>
        <v>0</v>
      </c>
      <c r="O13" s="173">
        <f>IF($K13="","",IF(OR($K13="J № 1",$K13="J № 2",$K13="J № 2L",$K13="J № 2R",$K13="AJ № 2",$K13="AJ № 2L",$K13="AJ № 2R",$K13="U",$K13="V"),$N13*Прайс!$D$46,IF(OR($K13="AJ № 3R",$K13="AJ № 4R",$K13="AJ № 5R",$K13="AJ № 3L",$K13="AJ № 4L",$K13="AJ № 5L",$K13="AJ № 3",$K13="AJ № 4",$K13="AJ № 5",$K13="J № 3",$K13="J № 4",$K13="J № 5",$K13="J № 6",$K13="J № 7",$K13="L",$K13="AL"),Прайс!$D$47*$E13,IF(OR($K13="J № 3L",$K13="J № 3R",$K13="J № 4L",$K13="J № 4R",$K13="J № 5L",$K13="J № 5R"),$N13/2*Прайс!$D$47*$E13,IF($K13="45 град.",$N13*Прайс!$D$45,0)))))</f>
        <v>0</v>
      </c>
      <c r="P13" s="234">
        <f>IF($K13="",0,IF(OR($M13=$S13,$M13=0),0,$N13*Прайс!$D$62))</f>
        <v>0</v>
      </c>
      <c r="Q13" s="176">
        <f>Бланк!N31</f>
        <v>0</v>
      </c>
      <c r="R13" s="177">
        <f>Бланк!R31</f>
        <v>0</v>
      </c>
      <c r="S13" s="177">
        <f>Бланк!S31</f>
        <v>0</v>
      </c>
      <c r="T13" s="177" t="str">
        <f>IF(Бланк!T31="","",Бланк!T31)</f>
        <v/>
      </c>
      <c r="U13" s="177">
        <f>Бланк!U31</f>
        <v>0</v>
      </c>
      <c r="V13" s="177">
        <f>Бланк!AB31</f>
        <v>0</v>
      </c>
      <c r="W13" s="177">
        <f>Бланк!AC31</f>
        <v>0</v>
      </c>
      <c r="X13" s="175">
        <f>IF(OR($C13=0,$C13=""),0,IF(AND(OR($T13="",$T13=0),$V13="Матове",OR($F13=4,$F13=6,$F13=8,$F13=10,$F13=16)),$AG13*Прайс!$F$10,IF(AND(OR($T13="",$T13=0),$V13="Матове+акрил",OR($F13=4,$F13=6,$F13=8,$F13=10,$F13=16)),$AG13*Прайс!#REF!,IF(AND(OR($T13="",$T13=0),$V13="Софт(TS)",OR($F13=4,$F13=6,$F13=8,$F13=10,$F13=16)),$AG13*Прайс!$F$11,IF(AND(OR($T13="",$T13=0),$V13="Глянець",OR($F13=4,$F13=6,$F13=8,$F13=10,$F13=16)),$AG13*Прайс!$F$12,IF(AND(OR($T13="Перл.ср.",$T13="Перл.зол."),OR($F13=4,$F13=6,$F13=8,$F13=10,$F13=16)),$AG13*Прайс!$F$13,IF(AND($T13="Гума",OR($F13=4,$F13=6,$F13=8,$F13=10,$F13=16)),$AG13*Прайс!$F$14,IF(AND($T13="Металік",OR($F13=4,$F13=6,$F13=8,$F13=10,$F13=16)),$AG13*Прайс!$F$15,IF(AND($T13="Рідке скло",OR($F13=4,$F13=6,$F13=8,$F13=10,$F13=16)),$AG13*Прайс!$F$16,IF(AND(OR($T13="Перли",$T13="Графіт"),OR($F13=4,$F13=6,$F13=8,$F13=10,$F13=16)),$AG13*Прайс!$F$17,IF(AND(OR($T13="Зор.н.ср.",$T13="Зор.н.зол.",$T13="Зор.н.різн."),OR($F13=4,$F13=6,$F13=8,$F13=10,$F13=16)),$AG13*Прайс!$F$18,IF(AND(,$T13="2-х кол.х.",OR($F13=4,$F13=6,$F13=8,$F13=10,$F13=16)),$AG13*Прайс!$F$19,IF(AND($T13="3-х кол.х.",OR($F13=4,$F13=6,$F13=8,$F13=10,$F13=16)),$AG13*Прайс!$F$20,IF(AND($T13="Фотодрук",OR($F13=4,$F13=6,$F13=8,$F13=10,$F13=16)),$AG13*Прайс!$F$21,0))))))))))))))</f>
        <v>0</v>
      </c>
      <c r="Y13" s="175">
        <f>IF(OR($C13=0,$C13=""),0,IF(AND(OR($T13="",$T13=0),$V13="Матове",$F13=19),$AG13*Прайс!$G$10,IF(AND(OR($T13="",$T13=0),$V13="Матове+акрил",$F13=19),$AG13*Прайс!#REF!,IF(AND(OR($T13="",$T13=0),$V13="Софт(TS)",$F13=19),$AG13*Прайс!$G$11,IF(AND(OR($T13="",$T13=0),$V13="Глянець",$F13=19),$AG13*Прайс!$G$12,IF(AND(OR($T13="Перл.ср.",$T13="Перл.зол."),$F13=19),$AG13*Прайс!$G$13,IF(AND($T13="Гума",$F13=19),$AG13*Прайс!$G$14,IF(AND($T13="Металік",$F13=19),$AG13*Прайс!$G$15,IF(AND($T13="Рідке скло",$F13=19),$AG13*Прайс!$G$16,IF(AND(OR($T13="Перли",$T13="Графіт"),$F13=19),$AG13*Прайс!$G$17,IF(AND(OR($T13="Зор.н.ср.",$T13="Зор.н.зол.",$T13="Зор.н.різн."),$F13=19),$AG13*Прайс!$G$18,IF(AND($T13="2-х кол.х.",$F13=19),$AG13*Прайс!$G$19,IF(AND($T13="3-х кол.х.",$F13=19),$AG13*Прайс!$G$20,IF(AND($T13="Фотодрук",$F13=19),$AG13*Прайс!$G$21,0))))))))))))))</f>
        <v>0</v>
      </c>
      <c r="Z13" s="175">
        <f>IF(OR($C13=0,$C13=""),0,IF(AND(OR($T13="",$T13=0),$W13="Матове",OR($F13=4,$F13=6,$F13=8,$F13=10,$F13=16,$F13=19)),$AG13*(Прайс!$F$10-500),IF(AND(OR($T13="",$T13=0),$W13="Матове+акрил",OR($F13=4,$F13=6,$F13=8,$F13=10,$F13=16,$F13=19)),$AG13*(Прайс!#REF!-500),IF(AND(OR($T13="",$T13=0),$W13="Софт(TS)",OR($F13=4,$F13=6,$F13=8,$F13=10,$F13=16,$F13=19)),$AG13*(Прайс!$F$11-500),IF(AND(OR($T13="",$T13=0),$W13="Глянець",OR($F13=4,$F13=6,$F13=8,$F13=10,$F13=16,$F13=19)),$AG13*(Прайс!$F$12-500),IF(AND(OR($T13="Перл.ср.",$T13="Перл.зол."),OR($F13=4,$F13=6,$F13=8,$F13=10,$F13=16,$F13=19)),$AG13*(Прайс!$F$13-500),IF(AND($T13="Гума",OR($F13=4,$F13=6,$F13=8,$F13=10,$F13=16,$F13=19)),$AG13*(Прайс!$F$14-500),IF(AND($T13="Металік",OR($F13=4,$F13=6,$F13=8,$F13=10,$F13=16,$F13=19)),$AG13*(Прайс!$F$15-500),IF(AND($T13="Рідке скло",OR($F13=4,$F13=6,$F13=8,$F13=10,$F13=16,$F13=19)),$AG13*(Прайс!$F$16-500),IF(AND(OR($T13="Перли",$T13="Графіт"),OR($F13=4,$F13=6,$F13=8,$F13=10,$F13=16,$F13=19)),$AG13*(Прайс!$F$17-500),IF(AND(OR($T13="Зор.н.ср.",$T13="Зор.н.зол.",$T13="Зор.н.різн."),OR($F13=4,$F13=6,$F13=8,$F13=10,$F13=16,$F13=19)),$AG13*(Прайс!$F$18-500),IF(AND(,$T13="2-х кол.х.",OR($F13=4,$F13=6,$F13=8,$F13=10,$F13=16,$F13=19)),$AG13*(Прайс!$F$19-500),IF(AND($T13="3-х кол.х.",OR($F13=4,$F13=6,$F13=8,$F13=10,$F13=16,$F13=19)),$AG13*(Прайс!$F$20-500),IF(AND($T13="Фотодрук",OR($F13=4,$F13=6,$F13=8,$F13=10,$F13=16,$F13=19)),$AG13*(Прайс!$F$21-500),0))))))))))))))</f>
        <v>0</v>
      </c>
      <c r="AA13" s="178">
        <f>IF(Бланк!AD31=0,0,Бланк!AD31*E13)</f>
        <v>0</v>
      </c>
      <c r="AB13" s="178">
        <f>Бланк!AE31</f>
        <v>0</v>
      </c>
      <c r="AC13" s="175">
        <f>IF(OR(AA$3=0,$AA13=""),0,$AA13*Прайс!$D$49)</f>
        <v>0</v>
      </c>
      <c r="AD13" s="178">
        <f>Бланк!AF31</f>
        <v>0</v>
      </c>
      <c r="AE13" s="178">
        <f>Бланк!AG31</f>
        <v>0</v>
      </c>
      <c r="AF13" s="178">
        <f>Бланк!AH31</f>
        <v>0</v>
      </c>
      <c r="AG13" s="123">
        <f>Бланк!$AI31</f>
        <v>0</v>
      </c>
      <c r="AH13" s="183"/>
      <c r="AI13" s="183"/>
      <c r="AJ13" s="183"/>
      <c r="AK13" s="183"/>
      <c r="AL13" s="184"/>
      <c r="AM13" s="184"/>
      <c r="AN13" s="184"/>
      <c r="AO13" s="184"/>
      <c r="AP13" s="185"/>
      <c r="AQ13" s="181"/>
    </row>
    <row r="14" spans="1:44" s="186" customFormat="1" ht="21" customHeight="1" x14ac:dyDescent="0.3">
      <c r="B14" s="182">
        <v>12</v>
      </c>
      <c r="C14" s="170" t="str">
        <f>IF(Бланк!$C32="","",Бланк!$C32/1000)</f>
        <v/>
      </c>
      <c r="D14" s="171" t="str">
        <f>IF(Бланк!$D32="","",Бланк!$D32/1000)</f>
        <v/>
      </c>
      <c r="E14" s="172" t="str">
        <f>IF(Бланк!E32="","",Бланк!E32)</f>
        <v/>
      </c>
      <c r="F14" s="172" t="str">
        <f>IF(Бланк!F32="","",Бланк!F32)</f>
        <v/>
      </c>
      <c r="G14" s="172" t="str">
        <f>IF(Бланк!H32="","",Бланк!H32)</f>
        <v/>
      </c>
      <c r="H14" s="172" t="str">
        <f>IF(Бланк!I32="","",Бланк!I32)</f>
        <v/>
      </c>
      <c r="I14" s="173" t="str">
        <f>IF(OR($C14="",$C14=0),"",IF($H14="Пряма з чвертю",(Прайс!$D$39+Прайс!$D$42)*Просчет!$E14,IF(Просчет!$H14="Пряма без чверті",Прайс!$D$39*Просчет!$E14,IF(AND(Просчет!$H14="Шпрос з чвертю",OR($C14&lt;1,$C14=1)),(Прайс!$D$40+Прайс!$D$43)*Просчет!$E14,IF(AND($H14="Шпрос з чвертю",$C14&gt;1),(Прайс!$F$40+Прайс!$D$43)*Просчет!$E14,IF(AND($H14="Шпрос без чверті",OR($C14&lt;1,$C14=1)),Прайс!$D$40*Просчет!$E14,IF(AND($H14="Шпрос без чверті",$C14&gt;1),Прайс!$F$40*Просчет!$E14,"")))))))</f>
        <v/>
      </c>
      <c r="J14" s="174" t="str">
        <f>IF(Бланк!$J32="","",Бланк!$J32/1000)</f>
        <v/>
      </c>
      <c r="K14" s="174">
        <f>Бланк!K32</f>
        <v>0</v>
      </c>
      <c r="L14" s="174">
        <f>Бланк!L32</f>
        <v>0</v>
      </c>
      <c r="M14" s="174">
        <f>Бланк!M32</f>
        <v>0</v>
      </c>
      <c r="N14" s="175">
        <f t="shared" si="0"/>
        <v>0</v>
      </c>
      <c r="O14" s="173">
        <f>IF($K14="","",IF(OR($K14="J № 1",$K14="J № 2",$K14="J № 2L",$K14="J № 2R",$K14="AJ № 2",$K14="AJ № 2L",$K14="AJ № 2R",$K14="U",$K14="V"),$N14*Прайс!$D$46,IF(OR($K14="AJ № 3R",$K14="AJ № 4R",$K14="AJ № 5R",$K14="AJ № 3L",$K14="AJ № 4L",$K14="AJ № 5L",$K14="AJ № 3",$K14="AJ № 4",$K14="AJ № 5",$K14="J № 3",$K14="J № 4",$K14="J № 5",$K14="J № 6",$K14="J № 7",$K14="L",$K14="AL"),Прайс!$D$47*$E14,IF(OR($K14="J № 3L",$K14="J № 3R",$K14="J № 4L",$K14="J № 4R",$K14="J № 5L",$K14="J № 5R"),$N14/2*Прайс!$D$47*$E14,IF($K14="45 град.",$N14*Прайс!$D$45,0)))))</f>
        <v>0</v>
      </c>
      <c r="P14" s="234">
        <f>IF($K14="",0,IF(OR($M14=$S14,$M14=0),0,$N14*Прайс!$D$62))</f>
        <v>0</v>
      </c>
      <c r="Q14" s="176">
        <f>Бланк!N32</f>
        <v>0</v>
      </c>
      <c r="R14" s="177">
        <f>Бланк!R32</f>
        <v>0</v>
      </c>
      <c r="S14" s="177">
        <f>Бланк!S32</f>
        <v>0</v>
      </c>
      <c r="T14" s="177" t="str">
        <f>IF(Бланк!T32="","",Бланк!T32)</f>
        <v/>
      </c>
      <c r="U14" s="177">
        <f>Бланк!U32</f>
        <v>0</v>
      </c>
      <c r="V14" s="177">
        <f>Бланк!AB32</f>
        <v>0</v>
      </c>
      <c r="W14" s="177">
        <f>Бланк!AC32</f>
        <v>0</v>
      </c>
      <c r="X14" s="175">
        <f>IF(OR($C14=0,$C14=""),0,IF(AND(OR($T14="",$T14=0),$V14="Матове",OR($F14=4,$F14=6,$F14=8,$F14=10,$F14=16)),$AG14*Прайс!$F$10,IF(AND(OR($T14="",$T14=0),$V14="Матове+акрил",OR($F14=4,$F14=6,$F14=8,$F14=10,$F14=16)),$AG14*Прайс!#REF!,IF(AND(OR($T14="",$T14=0),$V14="Софт(TS)",OR($F14=4,$F14=6,$F14=8,$F14=10,$F14=16)),$AG14*Прайс!$F$11,IF(AND(OR($T14="",$T14=0),$V14="Глянець",OR($F14=4,$F14=6,$F14=8,$F14=10,$F14=16)),$AG14*Прайс!$F$12,IF(AND(OR($T14="Перл.ср.",$T14="Перл.зол."),OR($F14=4,$F14=6,$F14=8,$F14=10,$F14=16)),$AG14*Прайс!$F$13,IF(AND($T14="Гума",OR($F14=4,$F14=6,$F14=8,$F14=10,$F14=16)),$AG14*Прайс!$F$14,IF(AND($T14="Металік",OR($F14=4,$F14=6,$F14=8,$F14=10,$F14=16)),$AG14*Прайс!$F$15,IF(AND($T14="Рідке скло",OR($F14=4,$F14=6,$F14=8,$F14=10,$F14=16)),$AG14*Прайс!$F$16,IF(AND(OR($T14="Перли",$T14="Графіт"),OR($F14=4,$F14=6,$F14=8,$F14=10,$F14=16)),$AG14*Прайс!$F$17,IF(AND(OR($T14="Зор.н.ср.",$T14="Зор.н.зол.",$T14="Зор.н.різн."),OR($F14=4,$F14=6,$F14=8,$F14=10,$F14=16)),$AG14*Прайс!$F$18,IF(AND(,$T14="2-х кол.х.",OR($F14=4,$F14=6,$F14=8,$F14=10,$F14=16)),$AG14*Прайс!$F$19,IF(AND($T14="3-х кол.х.",OR($F14=4,$F14=6,$F14=8,$F14=10,$F14=16)),$AG14*Прайс!$F$20,IF(AND($T14="Фотодрук",OR($F14=4,$F14=6,$F14=8,$F14=10,$F14=16)),$AG14*Прайс!$F$21,0))))))))))))))</f>
        <v>0</v>
      </c>
      <c r="Y14" s="175">
        <f>IF(OR($C14=0,$C14=""),0,IF(AND(OR($T14="",$T14=0),$V14="Матове",$F14=19),$AG14*Прайс!$G$10,IF(AND(OR($T14="",$T14=0),$V14="Матове+акрил",$F14=19),$AG14*Прайс!#REF!,IF(AND(OR($T14="",$T14=0),$V14="Софт(TS)",$F14=19),$AG14*Прайс!$G$11,IF(AND(OR($T14="",$T14=0),$V14="Глянець",$F14=19),$AG14*Прайс!$G$12,IF(AND(OR($T14="Перл.ср.",$T14="Перл.зол."),$F14=19),$AG14*Прайс!$G$13,IF(AND($T14="Гума",$F14=19),$AG14*Прайс!$G$14,IF(AND($T14="Металік",$F14=19),$AG14*Прайс!$G$15,IF(AND($T14="Рідке скло",$F14=19),$AG14*Прайс!$G$16,IF(AND(OR($T14="Перли",$T14="Графіт"),$F14=19),$AG14*Прайс!$G$17,IF(AND(OR($T14="Зор.н.ср.",$T14="Зор.н.зол.",$T14="Зор.н.різн."),$F14=19),$AG14*Прайс!$G$18,IF(AND($T14="2-х кол.х.",$F14=19),$AG14*Прайс!$G$19,IF(AND($T14="3-х кол.х.",$F14=19),$AG14*Прайс!$G$20,IF(AND($T14="Фотодрук",$F14=19),$AG14*Прайс!$G$21,0))))))))))))))</f>
        <v>0</v>
      </c>
      <c r="Z14" s="175">
        <f>IF(OR($C14=0,$C14=""),0,IF(AND(OR($T14="",$T14=0),$W14="Матове",OR($F14=4,$F14=6,$F14=8,$F14=10,$F14=16,$F14=19)),$AG14*(Прайс!$F$10-500),IF(AND(OR($T14="",$T14=0),$W14="Матове+акрил",OR($F14=4,$F14=6,$F14=8,$F14=10,$F14=16,$F14=19)),$AG14*(Прайс!#REF!-500),IF(AND(OR($T14="",$T14=0),$W14="Софт(TS)",OR($F14=4,$F14=6,$F14=8,$F14=10,$F14=16,$F14=19)),$AG14*(Прайс!$F$11-500),IF(AND(OR($T14="",$T14=0),$W14="Глянець",OR($F14=4,$F14=6,$F14=8,$F14=10,$F14=16,$F14=19)),$AG14*(Прайс!$F$12-500),IF(AND(OR($T14="Перл.ср.",$T14="Перл.зол."),OR($F14=4,$F14=6,$F14=8,$F14=10,$F14=16,$F14=19)),$AG14*(Прайс!$F$13-500),IF(AND($T14="Гума",OR($F14=4,$F14=6,$F14=8,$F14=10,$F14=16,$F14=19)),$AG14*(Прайс!$F$14-500),IF(AND($T14="Металік",OR($F14=4,$F14=6,$F14=8,$F14=10,$F14=16,$F14=19)),$AG14*(Прайс!$F$15-500),IF(AND($T14="Рідке скло",OR($F14=4,$F14=6,$F14=8,$F14=10,$F14=16,$F14=19)),$AG14*(Прайс!$F$16-500),IF(AND(OR($T14="Перли",$T14="Графіт"),OR($F14=4,$F14=6,$F14=8,$F14=10,$F14=16,$F14=19)),$AG14*(Прайс!$F$17-500),IF(AND(OR($T14="Зор.н.ср.",$T14="Зор.н.зол.",$T14="Зор.н.різн."),OR($F14=4,$F14=6,$F14=8,$F14=10,$F14=16,$F14=19)),$AG14*(Прайс!$F$18-500),IF(AND(,$T14="2-х кол.х.",OR($F14=4,$F14=6,$F14=8,$F14=10,$F14=16,$F14=19)),$AG14*(Прайс!$F$19-500),IF(AND($T14="3-х кол.х.",OR($F14=4,$F14=6,$F14=8,$F14=10,$F14=16,$F14=19)),$AG14*(Прайс!$F$20-500),IF(AND($T14="Фотодрук",OR($F14=4,$F14=6,$F14=8,$F14=10,$F14=16,$F14=19)),$AG14*(Прайс!$F$21-500),0))))))))))))))</f>
        <v>0</v>
      </c>
      <c r="AA14" s="178">
        <f>IF(Бланк!AD32=0,0,Бланк!AD32*E14)</f>
        <v>0</v>
      </c>
      <c r="AB14" s="178">
        <f>Бланк!AE32</f>
        <v>0</v>
      </c>
      <c r="AC14" s="175">
        <f>IF(OR(AA$3=0,$AA14=""),0,$AA14*Прайс!$D$49)</f>
        <v>0</v>
      </c>
      <c r="AD14" s="178">
        <f>Бланк!AF32</f>
        <v>0</v>
      </c>
      <c r="AE14" s="178">
        <f>Бланк!AG32</f>
        <v>0</v>
      </c>
      <c r="AF14" s="178">
        <f>Бланк!AH32</f>
        <v>0</v>
      </c>
      <c r="AG14" s="123">
        <f>Бланк!$AI32</f>
        <v>0</v>
      </c>
      <c r="AH14" s="183"/>
      <c r="AI14" s="183"/>
      <c r="AJ14" s="183"/>
      <c r="AK14" s="183"/>
      <c r="AL14" s="184"/>
      <c r="AM14" s="184"/>
      <c r="AN14" s="184"/>
      <c r="AO14" s="184"/>
      <c r="AP14" s="185"/>
      <c r="AQ14" s="181"/>
    </row>
    <row r="15" spans="1:44" s="186" customFormat="1" ht="21" customHeight="1" x14ac:dyDescent="0.3">
      <c r="B15" s="182">
        <v>13</v>
      </c>
      <c r="C15" s="170" t="str">
        <f>IF(Бланк!$C33="","",Бланк!$C33/1000)</f>
        <v/>
      </c>
      <c r="D15" s="171" t="str">
        <f>IF(Бланк!$D33="","",Бланк!$D33/1000)</f>
        <v/>
      </c>
      <c r="E15" s="172" t="str">
        <f>IF(Бланк!E33="","",Бланк!E33)</f>
        <v/>
      </c>
      <c r="F15" s="172" t="str">
        <f>IF(Бланк!F33="","",Бланк!F33)</f>
        <v/>
      </c>
      <c r="G15" s="172" t="str">
        <f>IF(Бланк!H33="","",Бланк!H33)</f>
        <v/>
      </c>
      <c r="H15" s="172" t="str">
        <f>IF(Бланк!I33="","",Бланк!I33)</f>
        <v/>
      </c>
      <c r="I15" s="173" t="str">
        <f>IF(OR($C15="",$C15=0),"",IF($H15="Пряма з чвертю",(Прайс!$D$39+Прайс!$D$42)*Просчет!$E15,IF(Просчет!$H15="Пряма без чверті",Прайс!$D$39*Просчет!$E15,IF(AND(Просчет!$H15="Шпрос з чвертю",OR($C15&lt;1,$C15=1)),(Прайс!$D$40+Прайс!$D$43)*Просчет!$E15,IF(AND($H15="Шпрос з чвертю",$C15&gt;1),(Прайс!$F$40+Прайс!$D$43)*Просчет!$E15,IF(AND($H15="Шпрос без чверті",OR($C15&lt;1,$C15=1)),Прайс!$D$40*Просчет!$E15,IF(AND($H15="Шпрос без чверті",$C15&gt;1),Прайс!$F$40*Просчет!$E15,"")))))))</f>
        <v/>
      </c>
      <c r="J15" s="174" t="str">
        <f>IF(Бланк!$J33="","",Бланк!$J33/1000)</f>
        <v/>
      </c>
      <c r="K15" s="174">
        <f>Бланк!K33</f>
        <v>0</v>
      </c>
      <c r="L15" s="174">
        <f>Бланк!L33</f>
        <v>0</v>
      </c>
      <c r="M15" s="174">
        <f>Бланк!M33</f>
        <v>0</v>
      </c>
      <c r="N15" s="175">
        <f t="shared" si="0"/>
        <v>0</v>
      </c>
      <c r="O15" s="173">
        <f>IF($K15="","",IF(OR($K15="J № 1",$K15="J № 2",$K15="J № 2L",$K15="J № 2R",$K15="AJ № 2",$K15="AJ № 2L",$K15="AJ № 2R",$K15="U",$K15="V"),$N15*Прайс!$D$46,IF(OR($K15="AJ № 3R",$K15="AJ № 4R",$K15="AJ № 5R",$K15="AJ № 3L",$K15="AJ № 4L",$K15="AJ № 5L",$K15="AJ № 3",$K15="AJ № 4",$K15="AJ № 5",$K15="J № 3",$K15="J № 4",$K15="J № 5",$K15="J № 6",$K15="J № 7",$K15="L",$K15="AL"),Прайс!$D$47*$E15,IF(OR($K15="J № 3L",$K15="J № 3R",$K15="J № 4L",$K15="J № 4R",$K15="J № 5L",$K15="J № 5R"),$N15/2*Прайс!$D$47*$E15,IF($K15="45 град.",$N15*Прайс!$D$45,0)))))</f>
        <v>0</v>
      </c>
      <c r="P15" s="234">
        <f>IF($K15="",0,IF(OR($M15=$S15,$M15=0),0,$N15*Прайс!$D$62))</f>
        <v>0</v>
      </c>
      <c r="Q15" s="176">
        <f>Бланк!N33</f>
        <v>0</v>
      </c>
      <c r="R15" s="177">
        <f>Бланк!R33</f>
        <v>0</v>
      </c>
      <c r="S15" s="177">
        <f>Бланк!S33</f>
        <v>0</v>
      </c>
      <c r="T15" s="177" t="str">
        <f>IF(Бланк!T33="","",Бланк!T33)</f>
        <v/>
      </c>
      <c r="U15" s="177">
        <f>Бланк!U33</f>
        <v>0</v>
      </c>
      <c r="V15" s="177">
        <f>Бланк!AB33</f>
        <v>0</v>
      </c>
      <c r="W15" s="177">
        <f>Бланк!AC33</f>
        <v>0</v>
      </c>
      <c r="X15" s="175">
        <f>IF(OR($C15=0,$C15=""),0,IF(AND(OR($T15="",$T15=0),$V15="Матове",OR($F15=4,$F15=6,$F15=8,$F15=10,$F15=16)),$AG15*Прайс!$F$10,IF(AND(OR($T15="",$T15=0),$V15="Матове+акрил",OR($F15=4,$F15=6,$F15=8,$F15=10,$F15=16)),$AG15*Прайс!#REF!,IF(AND(OR($T15="",$T15=0),$V15="Софт(TS)",OR($F15=4,$F15=6,$F15=8,$F15=10,$F15=16)),$AG15*Прайс!$F$11,IF(AND(OR($T15="",$T15=0),$V15="Глянець",OR($F15=4,$F15=6,$F15=8,$F15=10,$F15=16)),$AG15*Прайс!$F$12,IF(AND(OR($T15="Перл.ср.",$T15="Перл.зол."),OR($F15=4,$F15=6,$F15=8,$F15=10,$F15=16)),$AG15*Прайс!$F$13,IF(AND($T15="Гума",OR($F15=4,$F15=6,$F15=8,$F15=10,$F15=16)),$AG15*Прайс!$F$14,IF(AND($T15="Металік",OR($F15=4,$F15=6,$F15=8,$F15=10,$F15=16)),$AG15*Прайс!$F$15,IF(AND($T15="Рідке скло",OR($F15=4,$F15=6,$F15=8,$F15=10,$F15=16)),$AG15*Прайс!$F$16,IF(AND(OR($T15="Перли",$T15="Графіт"),OR($F15=4,$F15=6,$F15=8,$F15=10,$F15=16)),$AG15*Прайс!$F$17,IF(AND(OR($T15="Зор.н.ср.",$T15="Зор.н.зол.",$T15="Зор.н.різн."),OR($F15=4,$F15=6,$F15=8,$F15=10,$F15=16)),$AG15*Прайс!$F$18,IF(AND(,$T15="2-х кол.х.",OR($F15=4,$F15=6,$F15=8,$F15=10,$F15=16)),$AG15*Прайс!$F$19,IF(AND($T15="3-х кол.х.",OR($F15=4,$F15=6,$F15=8,$F15=10,$F15=16)),$AG15*Прайс!$F$20,IF(AND($T15="Фотодрук",OR($F15=4,$F15=6,$F15=8,$F15=10,$F15=16)),$AG15*Прайс!$F$21,0))))))))))))))</f>
        <v>0</v>
      </c>
      <c r="Y15" s="175">
        <f>IF(OR($C15=0,$C15=""),0,IF(AND(OR($T15="",$T15=0),$V15="Матове",$F15=19),$AG15*Прайс!$G$10,IF(AND(OR($T15="",$T15=0),$V15="Матове+акрил",$F15=19),$AG15*Прайс!#REF!,IF(AND(OR($T15="",$T15=0),$V15="Софт(TS)",$F15=19),$AG15*Прайс!$G$11,IF(AND(OR($T15="",$T15=0),$V15="Глянець",$F15=19),$AG15*Прайс!$G$12,IF(AND(OR($T15="Перл.ср.",$T15="Перл.зол."),$F15=19),$AG15*Прайс!$G$13,IF(AND($T15="Гума",$F15=19),$AG15*Прайс!$G$14,IF(AND($T15="Металік",$F15=19),$AG15*Прайс!$G$15,IF(AND($T15="Рідке скло",$F15=19),$AG15*Прайс!$G$16,IF(AND(OR($T15="Перли",$T15="Графіт"),$F15=19),$AG15*Прайс!$G$17,IF(AND(OR($T15="Зор.н.ср.",$T15="Зор.н.зол.",$T15="Зор.н.різн."),$F15=19),$AG15*Прайс!$G$18,IF(AND($T15="2-х кол.х.",$F15=19),$AG15*Прайс!$G$19,IF(AND($T15="3-х кол.х.",$F15=19),$AG15*Прайс!$G$20,IF(AND($T15="Фотодрук",$F15=19),$AG15*Прайс!$G$21,0))))))))))))))</f>
        <v>0</v>
      </c>
      <c r="Z15" s="175">
        <f>IF(OR($C15=0,$C15=""),0,IF(AND(OR($T15="",$T15=0),$W15="Матове",OR($F15=4,$F15=6,$F15=8,$F15=10,$F15=16,$F15=19)),$AG15*(Прайс!$F$10-500),IF(AND(OR($T15="",$T15=0),$W15="Матове+акрил",OR($F15=4,$F15=6,$F15=8,$F15=10,$F15=16,$F15=19)),$AG15*(Прайс!#REF!-500),IF(AND(OR($T15="",$T15=0),$W15="Софт(TS)",OR($F15=4,$F15=6,$F15=8,$F15=10,$F15=16,$F15=19)),$AG15*(Прайс!$F$11-500),IF(AND(OR($T15="",$T15=0),$W15="Глянець",OR($F15=4,$F15=6,$F15=8,$F15=10,$F15=16,$F15=19)),$AG15*(Прайс!$F$12-500),IF(AND(OR($T15="Перл.ср.",$T15="Перл.зол."),OR($F15=4,$F15=6,$F15=8,$F15=10,$F15=16,$F15=19)),$AG15*(Прайс!$F$13-500),IF(AND($T15="Гума",OR($F15=4,$F15=6,$F15=8,$F15=10,$F15=16,$F15=19)),$AG15*(Прайс!$F$14-500),IF(AND($T15="Металік",OR($F15=4,$F15=6,$F15=8,$F15=10,$F15=16,$F15=19)),$AG15*(Прайс!$F$15-500),IF(AND($T15="Рідке скло",OR($F15=4,$F15=6,$F15=8,$F15=10,$F15=16,$F15=19)),$AG15*(Прайс!$F$16-500),IF(AND(OR($T15="Перли",$T15="Графіт"),OR($F15=4,$F15=6,$F15=8,$F15=10,$F15=16,$F15=19)),$AG15*(Прайс!$F$17-500),IF(AND(OR($T15="Зор.н.ср.",$T15="Зор.н.зол.",$T15="Зор.н.різн."),OR($F15=4,$F15=6,$F15=8,$F15=10,$F15=16,$F15=19)),$AG15*(Прайс!$F$18-500),IF(AND(,$T15="2-х кол.х.",OR($F15=4,$F15=6,$F15=8,$F15=10,$F15=16,$F15=19)),$AG15*(Прайс!$F$19-500),IF(AND($T15="3-х кол.х.",OR($F15=4,$F15=6,$F15=8,$F15=10,$F15=16,$F15=19)),$AG15*(Прайс!$F$20-500),IF(AND($T15="Фотодрук",OR($F15=4,$F15=6,$F15=8,$F15=10,$F15=16,$F15=19)),$AG15*(Прайс!$F$21-500),0))))))))))))))</f>
        <v>0</v>
      </c>
      <c r="AA15" s="178">
        <f>IF(Бланк!AD33=0,0,Бланк!AD33*E15)</f>
        <v>0</v>
      </c>
      <c r="AB15" s="178">
        <f>Бланк!AE33</f>
        <v>0</v>
      </c>
      <c r="AC15" s="175">
        <f>IF(OR(AA$3=0,$AA15=""),0,$AA15*Прайс!$D$49)</f>
        <v>0</v>
      </c>
      <c r="AD15" s="178">
        <f>Бланк!AF33</f>
        <v>0</v>
      </c>
      <c r="AE15" s="178">
        <f>Бланк!AG33</f>
        <v>0</v>
      </c>
      <c r="AF15" s="178">
        <f>Бланк!AH33</f>
        <v>0</v>
      </c>
      <c r="AG15" s="123">
        <f>Бланк!$AI33</f>
        <v>0</v>
      </c>
      <c r="AH15" s="183"/>
      <c r="AI15" s="183"/>
      <c r="AJ15" s="183"/>
      <c r="AK15" s="183"/>
      <c r="AL15" s="184"/>
      <c r="AM15" s="184"/>
      <c r="AN15" s="184"/>
      <c r="AO15" s="184"/>
      <c r="AP15" s="185"/>
      <c r="AQ15" s="181"/>
    </row>
    <row r="16" spans="1:44" s="186" customFormat="1" ht="21" customHeight="1" x14ac:dyDescent="0.3">
      <c r="B16" s="182">
        <v>14</v>
      </c>
      <c r="C16" s="170" t="str">
        <f>IF(Бланк!$C34="","",Бланк!$C34/1000)</f>
        <v/>
      </c>
      <c r="D16" s="171" t="str">
        <f>IF(Бланк!$D34="","",Бланк!$D34/1000)</f>
        <v/>
      </c>
      <c r="E16" s="172" t="str">
        <f>IF(Бланк!E34="","",Бланк!E34)</f>
        <v/>
      </c>
      <c r="F16" s="172" t="str">
        <f>IF(Бланк!F34="","",Бланк!F34)</f>
        <v/>
      </c>
      <c r="G16" s="172" t="str">
        <f>IF(Бланк!H34="","",Бланк!H34)</f>
        <v/>
      </c>
      <c r="H16" s="172" t="str">
        <f>IF(Бланк!I34="","",Бланк!I34)</f>
        <v/>
      </c>
      <c r="I16" s="173" t="str">
        <f>IF(OR($C16="",$C16=0),"",IF($H16="Пряма з чвертю",(Прайс!$D$39+Прайс!$D$42)*Просчет!$E16,IF(Просчет!$H16="Пряма без чверті",Прайс!$D$39*Просчет!$E16,IF(AND(Просчет!$H16="Шпрос з чвертю",OR($C16&lt;1,$C16=1)),(Прайс!$D$40+Прайс!$D$43)*Просчет!$E16,IF(AND($H16="Шпрос з чвертю",$C16&gt;1),(Прайс!$F$40+Прайс!$D$43)*Просчет!$E16,IF(AND($H16="Шпрос без чверті",OR($C16&lt;1,$C16=1)),Прайс!$D$40*Просчет!$E16,IF(AND($H16="Шпрос без чверті",$C16&gt;1),Прайс!$F$40*Просчет!$E16,"")))))))</f>
        <v/>
      </c>
      <c r="J16" s="174" t="str">
        <f>IF(Бланк!$J34="","",Бланк!$J34/1000)</f>
        <v/>
      </c>
      <c r="K16" s="174">
        <f>Бланк!K34</f>
        <v>0</v>
      </c>
      <c r="L16" s="174">
        <f>Бланк!L34</f>
        <v>0</v>
      </c>
      <c r="M16" s="174">
        <f>Бланк!M34</f>
        <v>0</v>
      </c>
      <c r="N16" s="175">
        <f t="shared" si="0"/>
        <v>0</v>
      </c>
      <c r="O16" s="173">
        <f>IF($K16="","",IF(OR($K16="J № 1",$K16="J № 2",$K16="J № 2L",$K16="J № 2R",$K16="AJ № 2",$K16="AJ № 2L",$K16="AJ № 2R",$K16="U",$K16="V"),$N16*Прайс!$D$46,IF(OR($K16="AJ № 3R",$K16="AJ № 4R",$K16="AJ № 5R",$K16="AJ № 3L",$K16="AJ № 4L",$K16="AJ № 5L",$K16="AJ № 3",$K16="AJ № 4",$K16="AJ № 5",$K16="J № 3",$K16="J № 4",$K16="J № 5",$K16="J № 6",$K16="J № 7",$K16="L",$K16="AL"),Прайс!$D$47*$E16,IF(OR($K16="J № 3L",$K16="J № 3R",$K16="J № 4L",$K16="J № 4R",$K16="J № 5L",$K16="J № 5R"),$N16/2*Прайс!$D$47*$E16,IF($K16="45 град.",$N16*Прайс!$D$45,0)))))</f>
        <v>0</v>
      </c>
      <c r="P16" s="234">
        <f>IF($K16="",0,IF(OR($M16=$S16,$M16=0),0,$N16*Прайс!$D$62))</f>
        <v>0</v>
      </c>
      <c r="Q16" s="176">
        <f>Бланк!N34</f>
        <v>0</v>
      </c>
      <c r="R16" s="177">
        <f>Бланк!R34</f>
        <v>0</v>
      </c>
      <c r="S16" s="177">
        <f>Бланк!S34</f>
        <v>0</v>
      </c>
      <c r="T16" s="177" t="str">
        <f>IF(Бланк!T34="","",Бланк!T34)</f>
        <v/>
      </c>
      <c r="U16" s="177">
        <f>Бланк!U34</f>
        <v>0</v>
      </c>
      <c r="V16" s="177">
        <f>Бланк!AB34</f>
        <v>0</v>
      </c>
      <c r="W16" s="177">
        <f>Бланк!AC34</f>
        <v>0</v>
      </c>
      <c r="X16" s="175">
        <f>IF(OR($C16=0,$C16=""),0,IF(AND(OR($T16="",$T16=0),$V16="Матове",OR($F16=4,$F16=6,$F16=8,$F16=10,$F16=16)),$AG16*Прайс!$F$10,IF(AND(OR($T16="",$T16=0),$V16="Матове+акрил",OR($F16=4,$F16=6,$F16=8,$F16=10,$F16=16)),$AG16*Прайс!#REF!,IF(AND(OR($T16="",$T16=0),$V16="Софт(TS)",OR($F16=4,$F16=6,$F16=8,$F16=10,$F16=16)),$AG16*Прайс!$F$11,IF(AND(OR($T16="",$T16=0),$V16="Глянець",OR($F16=4,$F16=6,$F16=8,$F16=10,$F16=16)),$AG16*Прайс!$F$12,IF(AND(OR($T16="Перл.ср.",$T16="Перл.зол."),OR($F16=4,$F16=6,$F16=8,$F16=10,$F16=16)),$AG16*Прайс!$F$13,IF(AND($T16="Гума",OR($F16=4,$F16=6,$F16=8,$F16=10,$F16=16)),$AG16*Прайс!$F$14,IF(AND($T16="Металік",OR($F16=4,$F16=6,$F16=8,$F16=10,$F16=16)),$AG16*Прайс!$F$15,IF(AND($T16="Рідке скло",OR($F16=4,$F16=6,$F16=8,$F16=10,$F16=16)),$AG16*Прайс!$F$16,IF(AND(OR($T16="Перли",$T16="Графіт"),OR($F16=4,$F16=6,$F16=8,$F16=10,$F16=16)),$AG16*Прайс!$F$17,IF(AND(OR($T16="Зор.н.ср.",$T16="Зор.н.зол.",$T16="Зор.н.різн."),OR($F16=4,$F16=6,$F16=8,$F16=10,$F16=16)),$AG16*Прайс!$F$18,IF(AND(,$T16="2-х кол.х.",OR($F16=4,$F16=6,$F16=8,$F16=10,$F16=16)),$AG16*Прайс!$F$19,IF(AND($T16="3-х кол.х.",OR($F16=4,$F16=6,$F16=8,$F16=10,$F16=16)),$AG16*Прайс!$F$20,IF(AND($T16="Фотодрук",OR($F16=4,$F16=6,$F16=8,$F16=10,$F16=16)),$AG16*Прайс!$F$21,0))))))))))))))</f>
        <v>0</v>
      </c>
      <c r="Y16" s="175">
        <f>IF(OR($C16=0,$C16=""),0,IF(AND(OR($T16="",$T16=0),$V16="Матове",$F16=19),$AG16*Прайс!$G$10,IF(AND(OR($T16="",$T16=0),$V16="Матове+акрил",$F16=19),$AG16*Прайс!#REF!,IF(AND(OR($T16="",$T16=0),$V16="Софт(TS)",$F16=19),$AG16*Прайс!$G$11,IF(AND(OR($T16="",$T16=0),$V16="Глянець",$F16=19),$AG16*Прайс!$G$12,IF(AND(OR($T16="Перл.ср.",$T16="Перл.зол."),$F16=19),$AG16*Прайс!$G$13,IF(AND($T16="Гума",$F16=19),$AG16*Прайс!$G$14,IF(AND($T16="Металік",$F16=19),$AG16*Прайс!$G$15,IF(AND($T16="Рідке скло",$F16=19),$AG16*Прайс!$G$16,IF(AND(OR($T16="Перли",$T16="Графіт"),$F16=19),$AG16*Прайс!$G$17,IF(AND(OR($T16="Зор.н.ср.",$T16="Зор.н.зол.",$T16="Зор.н.різн."),$F16=19),$AG16*Прайс!$G$18,IF(AND($T16="2-х кол.х.",$F16=19),$AG16*Прайс!$G$19,IF(AND($T16="3-х кол.х.",$F16=19),$AG16*Прайс!$G$20,IF(AND($T16="Фотодрук",$F16=19),$AG16*Прайс!$G$21,0))))))))))))))</f>
        <v>0</v>
      </c>
      <c r="Z16" s="175">
        <f>IF(OR($C16=0,$C16=""),0,IF(AND(OR($T16="",$T16=0),$W16="Матове",OR($F16=4,$F16=6,$F16=8,$F16=10,$F16=16,$F16=19)),$AG16*(Прайс!$F$10-500),IF(AND(OR($T16="",$T16=0),$W16="Матове+акрил",OR($F16=4,$F16=6,$F16=8,$F16=10,$F16=16,$F16=19)),$AG16*(Прайс!#REF!-500),IF(AND(OR($T16="",$T16=0),$W16="Софт(TS)",OR($F16=4,$F16=6,$F16=8,$F16=10,$F16=16,$F16=19)),$AG16*(Прайс!$F$11-500),IF(AND(OR($T16="",$T16=0),$W16="Глянець",OR($F16=4,$F16=6,$F16=8,$F16=10,$F16=16,$F16=19)),$AG16*(Прайс!$F$12-500),IF(AND(OR($T16="Перл.ср.",$T16="Перл.зол."),OR($F16=4,$F16=6,$F16=8,$F16=10,$F16=16,$F16=19)),$AG16*(Прайс!$F$13-500),IF(AND($T16="Гума",OR($F16=4,$F16=6,$F16=8,$F16=10,$F16=16,$F16=19)),$AG16*(Прайс!$F$14-500),IF(AND($T16="Металік",OR($F16=4,$F16=6,$F16=8,$F16=10,$F16=16,$F16=19)),$AG16*(Прайс!$F$15-500),IF(AND($T16="Рідке скло",OR($F16=4,$F16=6,$F16=8,$F16=10,$F16=16,$F16=19)),$AG16*(Прайс!$F$16-500),IF(AND(OR($T16="Перли",$T16="Графіт"),OR($F16=4,$F16=6,$F16=8,$F16=10,$F16=16,$F16=19)),$AG16*(Прайс!$F$17-500),IF(AND(OR($T16="Зор.н.ср.",$T16="Зор.н.зол.",$T16="Зор.н.різн."),OR($F16=4,$F16=6,$F16=8,$F16=10,$F16=16,$F16=19)),$AG16*(Прайс!$F$18-500),IF(AND(,$T16="2-х кол.х.",OR($F16=4,$F16=6,$F16=8,$F16=10,$F16=16,$F16=19)),$AG16*(Прайс!$F$19-500),IF(AND($T16="3-х кол.х.",OR($F16=4,$F16=6,$F16=8,$F16=10,$F16=16,$F16=19)),$AG16*(Прайс!$F$20-500),IF(AND($T16="Фотодрук",OR($F16=4,$F16=6,$F16=8,$F16=10,$F16=16,$F16=19)),$AG16*(Прайс!$F$21-500),0))))))))))))))</f>
        <v>0</v>
      </c>
      <c r="AA16" s="178">
        <f>IF(Бланк!AD34=0,0,Бланк!AD34*E16)</f>
        <v>0</v>
      </c>
      <c r="AB16" s="178">
        <f>Бланк!AE34</f>
        <v>0</v>
      </c>
      <c r="AC16" s="175">
        <f>IF(OR(AA$3=0,$AA16=""),0,$AA16*Прайс!$D$49)</f>
        <v>0</v>
      </c>
      <c r="AD16" s="178">
        <f>Бланк!AF34</f>
        <v>0</v>
      </c>
      <c r="AE16" s="178">
        <f>Бланк!AG34</f>
        <v>0</v>
      </c>
      <c r="AF16" s="178">
        <f>Бланк!AH34</f>
        <v>0</v>
      </c>
      <c r="AG16" s="123">
        <f>Бланк!$AI34</f>
        <v>0</v>
      </c>
      <c r="AH16" s="183"/>
      <c r="AI16" s="183"/>
      <c r="AJ16" s="183"/>
      <c r="AK16" s="183"/>
      <c r="AL16" s="184"/>
      <c r="AM16" s="184"/>
      <c r="AN16" s="184"/>
      <c r="AO16" s="184"/>
      <c r="AP16" s="185"/>
      <c r="AQ16" s="181"/>
    </row>
    <row r="17" spans="2:43" s="186" customFormat="1" ht="21" customHeight="1" x14ac:dyDescent="0.3">
      <c r="B17" s="182">
        <v>15</v>
      </c>
      <c r="C17" s="170" t="str">
        <f>IF(Бланк!$C35="","",Бланк!$C35/1000)</f>
        <v/>
      </c>
      <c r="D17" s="171" t="str">
        <f>IF(Бланк!$D35="","",Бланк!$D35/1000)</f>
        <v/>
      </c>
      <c r="E17" s="172" t="str">
        <f>IF(Бланк!E35="","",Бланк!E35)</f>
        <v/>
      </c>
      <c r="F17" s="172" t="str">
        <f>IF(Бланк!F35="","",Бланк!F35)</f>
        <v/>
      </c>
      <c r="G17" s="172" t="str">
        <f>IF(Бланк!H35="","",Бланк!H35)</f>
        <v/>
      </c>
      <c r="H17" s="172" t="str">
        <f>IF(Бланк!I35="","",Бланк!I35)</f>
        <v/>
      </c>
      <c r="I17" s="173" t="str">
        <f>IF(OR($C17="",$C17=0),"",IF($H17="Пряма з чвертю",(Прайс!$D$39+Прайс!$D$42)*Просчет!$E17,IF(Просчет!$H17="Пряма без чверті",Прайс!$D$39*Просчет!$E17,IF(AND(Просчет!$H17="Шпрос з чвертю",OR($C17&lt;1,$C17=1)),(Прайс!$D$40+Прайс!$D$43)*Просчет!$E17,IF(AND($H17="Шпрос з чвертю",$C17&gt;1),(Прайс!$F$40+Прайс!$D$43)*Просчет!$E17,IF(AND($H17="Шпрос без чверті",OR($C17&lt;1,$C17=1)),Прайс!$D$40*Просчет!$E17,IF(AND($H17="Шпрос без чверті",$C17&gt;1),Прайс!$F$40*Просчет!$E17,"")))))))</f>
        <v/>
      </c>
      <c r="J17" s="174" t="str">
        <f>IF(Бланк!$J35="","",Бланк!$J35/1000)</f>
        <v/>
      </c>
      <c r="K17" s="174">
        <f>Бланк!K35</f>
        <v>0</v>
      </c>
      <c r="L17" s="174">
        <f>Бланк!L35</f>
        <v>0</v>
      </c>
      <c r="M17" s="174">
        <f>Бланк!M35</f>
        <v>0</v>
      </c>
      <c r="N17" s="175">
        <f t="shared" si="0"/>
        <v>0</v>
      </c>
      <c r="O17" s="173">
        <f>IF($K17="","",IF(OR($K17="J № 1",$K17="J № 2",$K17="J № 2L",$K17="J № 2R",$K17="AJ № 2",$K17="AJ № 2L",$K17="AJ № 2R",$K17="U",$K17="V"),$N17*Прайс!$D$46,IF(OR($K17="AJ № 3R",$K17="AJ № 4R",$K17="AJ № 5R",$K17="AJ № 3L",$K17="AJ № 4L",$K17="AJ № 5L",$K17="AJ № 3",$K17="AJ № 4",$K17="AJ № 5",$K17="J № 3",$K17="J № 4",$K17="J № 5",$K17="J № 6",$K17="J № 7",$K17="L",$K17="AL"),Прайс!$D$47*$E17,IF(OR($K17="J № 3L",$K17="J № 3R",$K17="J № 4L",$K17="J № 4R",$K17="J № 5L",$K17="J № 5R"),$N17/2*Прайс!$D$47*$E17,IF($K17="45 град.",$N17*Прайс!$D$45,0)))))</f>
        <v>0</v>
      </c>
      <c r="P17" s="234">
        <f>IF($K17="",0,IF(OR($M17=$S17,$M17=0),0,$N17*Прайс!$D$62))</f>
        <v>0</v>
      </c>
      <c r="Q17" s="176">
        <f>Бланк!N35</f>
        <v>0</v>
      </c>
      <c r="R17" s="177">
        <f>Бланк!R35</f>
        <v>0</v>
      </c>
      <c r="S17" s="177">
        <f>Бланк!S35</f>
        <v>0</v>
      </c>
      <c r="T17" s="177" t="str">
        <f>IF(Бланк!T35="","",Бланк!T35)</f>
        <v/>
      </c>
      <c r="U17" s="177">
        <f>Бланк!U35</f>
        <v>0</v>
      </c>
      <c r="V17" s="177">
        <f>Бланк!AB35</f>
        <v>0</v>
      </c>
      <c r="W17" s="177">
        <f>Бланк!AC35</f>
        <v>0</v>
      </c>
      <c r="X17" s="175">
        <f>IF(OR($C17=0,$C17=""),0,IF(AND(OR($T17="",$T17=0),$V17="Матове",OR($F17=4,$F17=6,$F17=8,$F17=10,$F17=16)),$AG17*Прайс!$F$10,IF(AND(OR($T17="",$T17=0),$V17="Матове+акрил",OR($F17=4,$F17=6,$F17=8,$F17=10,$F17=16)),$AG17*Прайс!#REF!,IF(AND(OR($T17="",$T17=0),$V17="Софт(TS)",OR($F17=4,$F17=6,$F17=8,$F17=10,$F17=16)),$AG17*Прайс!$F$11,IF(AND(OR($T17="",$T17=0),$V17="Глянець",OR($F17=4,$F17=6,$F17=8,$F17=10,$F17=16)),$AG17*Прайс!$F$12,IF(AND(OR($T17="Перл.ср.",$T17="Перл.зол."),OR($F17=4,$F17=6,$F17=8,$F17=10,$F17=16)),$AG17*Прайс!$F$13,IF(AND($T17="Гума",OR($F17=4,$F17=6,$F17=8,$F17=10,$F17=16)),$AG17*Прайс!$F$14,IF(AND($T17="Металік",OR($F17=4,$F17=6,$F17=8,$F17=10,$F17=16)),$AG17*Прайс!$F$15,IF(AND($T17="Рідке скло",OR($F17=4,$F17=6,$F17=8,$F17=10,$F17=16)),$AG17*Прайс!$F$16,IF(AND(OR($T17="Перли",$T17="Графіт"),OR($F17=4,$F17=6,$F17=8,$F17=10,$F17=16)),$AG17*Прайс!$F$17,IF(AND(OR($T17="Зор.н.ср.",$T17="Зор.н.зол.",$T17="Зор.н.різн."),OR($F17=4,$F17=6,$F17=8,$F17=10,$F17=16)),$AG17*Прайс!$F$18,IF(AND(,$T17="2-х кол.х.",OR($F17=4,$F17=6,$F17=8,$F17=10,$F17=16)),$AG17*Прайс!$F$19,IF(AND($T17="3-х кол.х.",OR($F17=4,$F17=6,$F17=8,$F17=10,$F17=16)),$AG17*Прайс!$F$20,IF(AND($T17="Фотодрук",OR($F17=4,$F17=6,$F17=8,$F17=10,$F17=16)),$AG17*Прайс!$F$21,0))))))))))))))</f>
        <v>0</v>
      </c>
      <c r="Y17" s="175">
        <f>IF(OR($C17=0,$C17=""),0,IF(AND(OR($T17="",$T17=0),$V17="Матове",$F17=19),$AG17*Прайс!$G$10,IF(AND(OR($T17="",$T17=0),$V17="Матове+акрил",$F17=19),$AG17*Прайс!#REF!,IF(AND(OR($T17="",$T17=0),$V17="Софт(TS)",$F17=19),$AG17*Прайс!$G$11,IF(AND(OR($T17="",$T17=0),$V17="Глянець",$F17=19),$AG17*Прайс!$G$12,IF(AND(OR($T17="Перл.ср.",$T17="Перл.зол."),$F17=19),$AG17*Прайс!$G$13,IF(AND($T17="Гума",$F17=19),$AG17*Прайс!$G$14,IF(AND($T17="Металік",$F17=19),$AG17*Прайс!$G$15,IF(AND($T17="Рідке скло",$F17=19),$AG17*Прайс!$G$16,IF(AND(OR($T17="Перли",$T17="Графіт"),$F17=19),$AG17*Прайс!$G$17,IF(AND(OR($T17="Зор.н.ср.",$T17="Зор.н.зол.",$T17="Зор.н.різн."),$F17=19),$AG17*Прайс!$G$18,IF(AND($T17="2-х кол.х.",$F17=19),$AG17*Прайс!$G$19,IF(AND($T17="3-х кол.х.",$F17=19),$AG17*Прайс!$G$20,IF(AND($T17="Фотодрук",$F17=19),$AG17*Прайс!$G$21,0))))))))))))))</f>
        <v>0</v>
      </c>
      <c r="Z17" s="175">
        <f>IF(OR($C17=0,$C17=""),0,IF(AND(OR($T17="",$T17=0),$W17="Матове",OR($F17=4,$F17=6,$F17=8,$F17=10,$F17=16,$F17=19)),$AG17*(Прайс!$F$10-500),IF(AND(OR($T17="",$T17=0),$W17="Матове+акрил",OR($F17=4,$F17=6,$F17=8,$F17=10,$F17=16,$F17=19)),$AG17*(Прайс!#REF!-500),IF(AND(OR($T17="",$T17=0),$W17="Софт(TS)",OR($F17=4,$F17=6,$F17=8,$F17=10,$F17=16,$F17=19)),$AG17*(Прайс!$F$11-500),IF(AND(OR($T17="",$T17=0),$W17="Глянець",OR($F17=4,$F17=6,$F17=8,$F17=10,$F17=16,$F17=19)),$AG17*(Прайс!$F$12-500),IF(AND(OR($T17="Перл.ср.",$T17="Перл.зол."),OR($F17=4,$F17=6,$F17=8,$F17=10,$F17=16,$F17=19)),$AG17*(Прайс!$F$13-500),IF(AND($T17="Гума",OR($F17=4,$F17=6,$F17=8,$F17=10,$F17=16,$F17=19)),$AG17*(Прайс!$F$14-500),IF(AND($T17="Металік",OR($F17=4,$F17=6,$F17=8,$F17=10,$F17=16,$F17=19)),$AG17*(Прайс!$F$15-500),IF(AND($T17="Рідке скло",OR($F17=4,$F17=6,$F17=8,$F17=10,$F17=16,$F17=19)),$AG17*(Прайс!$F$16-500),IF(AND(OR($T17="Перли",$T17="Графіт"),OR($F17=4,$F17=6,$F17=8,$F17=10,$F17=16,$F17=19)),$AG17*(Прайс!$F$17-500),IF(AND(OR($T17="Зор.н.ср.",$T17="Зор.н.зол.",$T17="Зор.н.різн."),OR($F17=4,$F17=6,$F17=8,$F17=10,$F17=16,$F17=19)),$AG17*(Прайс!$F$18-500),IF(AND(,$T17="2-х кол.х.",OR($F17=4,$F17=6,$F17=8,$F17=10,$F17=16,$F17=19)),$AG17*(Прайс!$F$19-500),IF(AND($T17="3-х кол.х.",OR($F17=4,$F17=6,$F17=8,$F17=10,$F17=16,$F17=19)),$AG17*(Прайс!$F$20-500),IF(AND($T17="Фотодрук",OR($F17=4,$F17=6,$F17=8,$F17=10,$F17=16,$F17=19)),$AG17*(Прайс!$F$21-500),0))))))))))))))</f>
        <v>0</v>
      </c>
      <c r="AA17" s="178">
        <f>IF(Бланк!AD35=0,0,Бланк!AD35*E17)</f>
        <v>0</v>
      </c>
      <c r="AB17" s="178">
        <f>Бланк!AE35</f>
        <v>0</v>
      </c>
      <c r="AC17" s="175">
        <f>IF(OR(AA$3=0,$AA17=""),0,$AA17*Прайс!$D$49)</f>
        <v>0</v>
      </c>
      <c r="AD17" s="178">
        <f>Бланк!AF35</f>
        <v>0</v>
      </c>
      <c r="AE17" s="178">
        <f>Бланк!AG35</f>
        <v>0</v>
      </c>
      <c r="AF17" s="178">
        <f>Бланк!AH35</f>
        <v>0</v>
      </c>
      <c r="AG17" s="123">
        <f>Бланк!$AI35</f>
        <v>0</v>
      </c>
      <c r="AH17" s="183"/>
      <c r="AI17" s="183"/>
      <c r="AJ17" s="183"/>
      <c r="AK17" s="183"/>
      <c r="AL17" s="184"/>
      <c r="AM17" s="184"/>
      <c r="AN17" s="184"/>
      <c r="AO17" s="184"/>
      <c r="AP17" s="185"/>
      <c r="AQ17" s="181"/>
    </row>
    <row r="18" spans="2:43" s="186" customFormat="1" ht="21" customHeight="1" x14ac:dyDescent="0.3">
      <c r="B18" s="182">
        <v>16</v>
      </c>
      <c r="C18" s="170" t="str">
        <f>IF(Бланк!$C36="","",Бланк!$C36/1000)</f>
        <v/>
      </c>
      <c r="D18" s="171" t="str">
        <f>IF(Бланк!$D36="","",Бланк!$D36/1000)</f>
        <v/>
      </c>
      <c r="E18" s="172" t="str">
        <f>IF(Бланк!E36="","",Бланк!E36)</f>
        <v/>
      </c>
      <c r="F18" s="172" t="str">
        <f>IF(Бланк!F36="","",Бланк!F36)</f>
        <v/>
      </c>
      <c r="G18" s="172" t="str">
        <f>IF(Бланк!H36="","",Бланк!H36)</f>
        <v/>
      </c>
      <c r="H18" s="172" t="str">
        <f>IF(Бланк!I36="","",Бланк!I36)</f>
        <v/>
      </c>
      <c r="I18" s="173" t="str">
        <f>IF(OR($C18="",$C18=0),"",IF($H18="Пряма з чвертю",(Прайс!$D$39+Прайс!$D$42)*Просчет!$E18,IF(Просчет!$H18="Пряма без чверті",Прайс!$D$39*Просчет!$E18,IF(AND(Просчет!$H18="Шпрос з чвертю",OR($C18&lt;1,$C18=1)),(Прайс!$D$40+Прайс!$D$43)*Просчет!$E18,IF(AND($H18="Шпрос з чвертю",$C18&gt;1),(Прайс!$F$40+Прайс!$D$43)*Просчет!$E18,IF(AND($H18="Шпрос без чверті",OR($C18&lt;1,$C18=1)),Прайс!$D$40*Просчет!$E18,IF(AND($H18="Шпрос без чверті",$C18&gt;1),Прайс!$F$40*Просчет!$E18,"")))))))</f>
        <v/>
      </c>
      <c r="J18" s="174" t="str">
        <f>IF(Бланк!$J36="","",Бланк!$J36/1000)</f>
        <v/>
      </c>
      <c r="K18" s="174">
        <f>Бланк!K36</f>
        <v>0</v>
      </c>
      <c r="L18" s="174">
        <f>Бланк!L36</f>
        <v>0</v>
      </c>
      <c r="M18" s="174">
        <f>Бланк!M36</f>
        <v>0</v>
      </c>
      <c r="N18" s="175">
        <f t="shared" si="0"/>
        <v>0</v>
      </c>
      <c r="O18" s="173">
        <f>IF($K18="","",IF(OR($K18="J № 1",$K18="J № 2",$K18="J № 2L",$K18="J № 2R",$K18="AJ № 2",$K18="AJ № 2L",$K18="AJ № 2R",$K18="U",$K18="V"),$N18*Прайс!$D$46,IF(OR($K18="AJ № 3R",$K18="AJ № 4R",$K18="AJ № 5R",$K18="AJ № 3L",$K18="AJ № 4L",$K18="AJ № 5L",$K18="AJ № 3",$K18="AJ № 4",$K18="AJ № 5",$K18="J № 3",$K18="J № 4",$K18="J № 5",$K18="J № 6",$K18="J № 7",$K18="L",$K18="AL"),Прайс!$D$47*$E18,IF(OR($K18="J № 3L",$K18="J № 3R",$K18="J № 4L",$K18="J № 4R",$K18="J № 5L",$K18="J № 5R"),$N18/2*Прайс!$D$47*$E18,IF($K18="45 град.",$N18*Прайс!$D$45,0)))))</f>
        <v>0</v>
      </c>
      <c r="P18" s="234">
        <f>IF($K18="",0,IF(OR($M18=$S18,$M18=0),0,$N18*Прайс!$D$62))</f>
        <v>0</v>
      </c>
      <c r="Q18" s="176">
        <f>Бланк!N36</f>
        <v>0</v>
      </c>
      <c r="R18" s="177">
        <f>Бланк!R36</f>
        <v>0</v>
      </c>
      <c r="S18" s="177">
        <f>Бланк!S36</f>
        <v>0</v>
      </c>
      <c r="T18" s="177" t="str">
        <f>IF(Бланк!T36="","",Бланк!T36)</f>
        <v/>
      </c>
      <c r="U18" s="177">
        <f>Бланк!U36</f>
        <v>0</v>
      </c>
      <c r="V18" s="177">
        <f>Бланк!AB36</f>
        <v>0</v>
      </c>
      <c r="W18" s="177">
        <f>Бланк!AC36</f>
        <v>0</v>
      </c>
      <c r="X18" s="175">
        <f>IF(OR($C18=0,$C18=""),0,IF(AND(OR($T18="",$T18=0),$V18="Матове",OR($F18=4,$F18=6,$F18=8,$F18=10,$F18=16)),$AG18*Прайс!$F$10,IF(AND(OR($T18="",$T18=0),$V18="Матове+акрил",OR($F18=4,$F18=6,$F18=8,$F18=10,$F18=16)),$AG18*Прайс!#REF!,IF(AND(OR($T18="",$T18=0),$V18="Софт(TS)",OR($F18=4,$F18=6,$F18=8,$F18=10,$F18=16)),$AG18*Прайс!$F$11,IF(AND(OR($T18="",$T18=0),$V18="Глянець",OR($F18=4,$F18=6,$F18=8,$F18=10,$F18=16)),$AG18*Прайс!$F$12,IF(AND(OR($T18="Перл.ср.",$T18="Перл.зол."),OR($F18=4,$F18=6,$F18=8,$F18=10,$F18=16)),$AG18*Прайс!$F$13,IF(AND($T18="Гума",OR($F18=4,$F18=6,$F18=8,$F18=10,$F18=16)),$AG18*Прайс!$F$14,IF(AND($T18="Металік",OR($F18=4,$F18=6,$F18=8,$F18=10,$F18=16)),$AG18*Прайс!$F$15,IF(AND($T18="Рідке скло",OR($F18=4,$F18=6,$F18=8,$F18=10,$F18=16)),$AG18*Прайс!$F$16,IF(AND(OR($T18="Перли",$T18="Графіт"),OR($F18=4,$F18=6,$F18=8,$F18=10,$F18=16)),$AG18*Прайс!$F$17,IF(AND(OR($T18="Зор.н.ср.",$T18="Зор.н.зол.",$T18="Зор.н.різн."),OR($F18=4,$F18=6,$F18=8,$F18=10,$F18=16)),$AG18*Прайс!$F$18,IF(AND(,$T18="2-х кол.х.",OR($F18=4,$F18=6,$F18=8,$F18=10,$F18=16)),$AG18*Прайс!$F$19,IF(AND($T18="3-х кол.х.",OR($F18=4,$F18=6,$F18=8,$F18=10,$F18=16)),$AG18*Прайс!$F$20,IF(AND($T18="Фотодрук",OR($F18=4,$F18=6,$F18=8,$F18=10,$F18=16)),$AG18*Прайс!$F$21,0))))))))))))))</f>
        <v>0</v>
      </c>
      <c r="Y18" s="175">
        <f>IF(OR($C18=0,$C18=""),0,IF(AND(OR($T18="",$T18=0),$V18="Матове",$F18=19),$AG18*Прайс!$G$10,IF(AND(OR($T18="",$T18=0),$V18="Матове+акрил",$F18=19),$AG18*Прайс!#REF!,IF(AND(OR($T18="",$T18=0),$V18="Софт(TS)",$F18=19),$AG18*Прайс!$G$11,IF(AND(OR($T18="",$T18=0),$V18="Глянець",$F18=19),$AG18*Прайс!$G$12,IF(AND(OR($T18="Перл.ср.",$T18="Перл.зол."),$F18=19),$AG18*Прайс!$G$13,IF(AND($T18="Гума",$F18=19),$AG18*Прайс!$G$14,IF(AND($T18="Металік",$F18=19),$AG18*Прайс!$G$15,IF(AND($T18="Рідке скло",$F18=19),$AG18*Прайс!$G$16,IF(AND(OR($T18="Перли",$T18="Графіт"),$F18=19),$AG18*Прайс!$G$17,IF(AND(OR($T18="Зор.н.ср.",$T18="Зор.н.зол.",$T18="Зор.н.різн."),$F18=19),$AG18*Прайс!$G$18,IF(AND($T18="2-х кол.х.",$F18=19),$AG18*Прайс!$G$19,IF(AND($T18="3-х кол.х.",$F18=19),$AG18*Прайс!$G$20,IF(AND($T18="Фотодрук",$F18=19),$AG18*Прайс!$G$21,0))))))))))))))</f>
        <v>0</v>
      </c>
      <c r="Z18" s="175">
        <f>IF(OR($C18=0,$C18=""),0,IF(AND(OR($T18="",$T18=0),$W18="Матове",OR($F18=4,$F18=6,$F18=8,$F18=10,$F18=16,$F18=19)),$AG18*(Прайс!$F$10-500),IF(AND(OR($T18="",$T18=0),$W18="Матове+акрил",OR($F18=4,$F18=6,$F18=8,$F18=10,$F18=16,$F18=19)),$AG18*(Прайс!#REF!-500),IF(AND(OR($T18="",$T18=0),$W18="Софт(TS)",OR($F18=4,$F18=6,$F18=8,$F18=10,$F18=16,$F18=19)),$AG18*(Прайс!$F$11-500),IF(AND(OR($T18="",$T18=0),$W18="Глянець",OR($F18=4,$F18=6,$F18=8,$F18=10,$F18=16,$F18=19)),$AG18*(Прайс!$F$12-500),IF(AND(OR($T18="Перл.ср.",$T18="Перл.зол."),OR($F18=4,$F18=6,$F18=8,$F18=10,$F18=16,$F18=19)),$AG18*(Прайс!$F$13-500),IF(AND($T18="Гума",OR($F18=4,$F18=6,$F18=8,$F18=10,$F18=16,$F18=19)),$AG18*(Прайс!$F$14-500),IF(AND($T18="Металік",OR($F18=4,$F18=6,$F18=8,$F18=10,$F18=16,$F18=19)),$AG18*(Прайс!$F$15-500),IF(AND($T18="Рідке скло",OR($F18=4,$F18=6,$F18=8,$F18=10,$F18=16,$F18=19)),$AG18*(Прайс!$F$16-500),IF(AND(OR($T18="Перли",$T18="Графіт"),OR($F18=4,$F18=6,$F18=8,$F18=10,$F18=16,$F18=19)),$AG18*(Прайс!$F$17-500),IF(AND(OR($T18="Зор.н.ср.",$T18="Зор.н.зол.",$T18="Зор.н.різн."),OR($F18=4,$F18=6,$F18=8,$F18=10,$F18=16,$F18=19)),$AG18*(Прайс!$F$18-500),IF(AND(,$T18="2-х кол.х.",OR($F18=4,$F18=6,$F18=8,$F18=10,$F18=16,$F18=19)),$AG18*(Прайс!$F$19-500),IF(AND($T18="3-х кол.х.",OR($F18=4,$F18=6,$F18=8,$F18=10,$F18=16,$F18=19)),$AG18*(Прайс!$F$20-500),IF(AND($T18="Фотодрук",OR($F18=4,$F18=6,$F18=8,$F18=10,$F18=16,$F18=19)),$AG18*(Прайс!$F$21-500),0))))))))))))))</f>
        <v>0</v>
      </c>
      <c r="AA18" s="178">
        <f>IF(Бланк!AD36=0,0,Бланк!AD36*E18)</f>
        <v>0</v>
      </c>
      <c r="AB18" s="178">
        <f>Бланк!AE36</f>
        <v>0</v>
      </c>
      <c r="AC18" s="175">
        <f>IF(OR(AA$3=0,$AA18=""),0,$AA18*Прайс!$D$49)</f>
        <v>0</v>
      </c>
      <c r="AD18" s="178">
        <f>Бланк!AF36</f>
        <v>0</v>
      </c>
      <c r="AE18" s="178">
        <f>Бланк!AG36</f>
        <v>0</v>
      </c>
      <c r="AF18" s="178">
        <f>Бланк!AH36</f>
        <v>0</v>
      </c>
      <c r="AG18" s="123">
        <f>Бланк!$AI36</f>
        <v>0</v>
      </c>
      <c r="AH18" s="183"/>
      <c r="AI18" s="183"/>
      <c r="AJ18" s="183"/>
      <c r="AK18" s="183"/>
      <c r="AL18" s="184"/>
      <c r="AM18" s="184"/>
      <c r="AN18" s="184"/>
      <c r="AO18" s="184"/>
      <c r="AP18" s="185"/>
      <c r="AQ18" s="181"/>
    </row>
    <row r="19" spans="2:43" s="186" customFormat="1" ht="21" customHeight="1" x14ac:dyDescent="0.3">
      <c r="B19" s="182">
        <v>17</v>
      </c>
      <c r="C19" s="170" t="str">
        <f>IF(Бланк!$C37="","",Бланк!$C37/1000)</f>
        <v/>
      </c>
      <c r="D19" s="171" t="str">
        <f>IF(Бланк!$D37="","",Бланк!$D37/1000)</f>
        <v/>
      </c>
      <c r="E19" s="172" t="str">
        <f>IF(Бланк!E37="","",Бланк!E37)</f>
        <v/>
      </c>
      <c r="F19" s="172" t="str">
        <f>IF(Бланк!F37="","",Бланк!F37)</f>
        <v/>
      </c>
      <c r="G19" s="172" t="str">
        <f>IF(Бланк!H37="","",Бланк!H37)</f>
        <v/>
      </c>
      <c r="H19" s="172" t="str">
        <f>IF(Бланк!I37="","",Бланк!I37)</f>
        <v/>
      </c>
      <c r="I19" s="173" t="str">
        <f>IF(OR($C19="",$C19=0),"",IF($H19="Пряма з чвертю",(Прайс!$D$39+Прайс!$D$42)*Просчет!$E19,IF(Просчет!$H19="Пряма без чверті",Прайс!$D$39*Просчет!$E19,IF(AND(Просчет!$H19="Шпрос з чвертю",OR($C19&lt;1,$C19=1)),(Прайс!$D$40+Прайс!$D$43)*Просчет!$E19,IF(AND($H19="Шпрос з чвертю",$C19&gt;1),(Прайс!$F$40+Прайс!$D$43)*Просчет!$E19,IF(AND($H19="Шпрос без чверті",OR($C19&lt;1,$C19=1)),Прайс!$D$40*Просчет!$E19,IF(AND($H19="Шпрос без чверті",$C19&gt;1),Прайс!$F$40*Просчет!$E19,"")))))))</f>
        <v/>
      </c>
      <c r="J19" s="174" t="str">
        <f>IF(Бланк!$J37="","",Бланк!$J37/1000)</f>
        <v/>
      </c>
      <c r="K19" s="174">
        <f>Бланк!K37</f>
        <v>0</v>
      </c>
      <c r="L19" s="174">
        <f>Бланк!L37</f>
        <v>0</v>
      </c>
      <c r="M19" s="174">
        <f>Бланк!M37</f>
        <v>0</v>
      </c>
      <c r="N19" s="175">
        <f t="shared" si="0"/>
        <v>0</v>
      </c>
      <c r="O19" s="173">
        <f>IF($K19="","",IF(OR($K19="J № 1",$K19="J № 2",$K19="J № 2L",$K19="J № 2R",$K19="AJ № 2",$K19="AJ № 2L",$K19="AJ № 2R",$K19="U",$K19="V"),$N19*Прайс!$D$46,IF(OR($K19="AJ № 3R",$K19="AJ № 4R",$K19="AJ № 5R",$K19="AJ № 3L",$K19="AJ № 4L",$K19="AJ № 5L",$K19="AJ № 3",$K19="AJ № 4",$K19="AJ № 5",$K19="J № 3",$K19="J № 4",$K19="J № 5",$K19="J № 6",$K19="J № 7",$K19="L",$K19="AL"),Прайс!$D$47*$E19,IF(OR($K19="J № 3L",$K19="J № 3R",$K19="J № 4L",$K19="J № 4R",$K19="J № 5L",$K19="J № 5R"),$N19/2*Прайс!$D$47*$E19,IF($K19="45 град.",$N19*Прайс!$D$45,0)))))</f>
        <v>0</v>
      </c>
      <c r="P19" s="234">
        <f>IF($K19="",0,IF(OR($M19=$S19,$M19=0),0,$N19*Прайс!$D$62))</f>
        <v>0</v>
      </c>
      <c r="Q19" s="176">
        <f>Бланк!N37</f>
        <v>0</v>
      </c>
      <c r="R19" s="177">
        <f>Бланк!R37</f>
        <v>0</v>
      </c>
      <c r="S19" s="177">
        <f>Бланк!S37</f>
        <v>0</v>
      </c>
      <c r="T19" s="177" t="str">
        <f>IF(Бланк!T37="","",Бланк!T37)</f>
        <v/>
      </c>
      <c r="U19" s="177">
        <f>Бланк!U37</f>
        <v>0</v>
      </c>
      <c r="V19" s="177">
        <f>Бланк!AB37</f>
        <v>0</v>
      </c>
      <c r="W19" s="177">
        <f>Бланк!AC37</f>
        <v>0</v>
      </c>
      <c r="X19" s="175">
        <f>IF(OR($C19=0,$C19=""),0,IF(AND(OR($T19="",$T19=0),$V19="Матове",OR($F19=4,$F19=6,$F19=8,$F19=10,$F19=16)),$AG19*Прайс!$F$10,IF(AND(OR($T19="",$T19=0),$V19="Матове+акрил",OR($F19=4,$F19=6,$F19=8,$F19=10,$F19=16)),$AG19*Прайс!#REF!,IF(AND(OR($T19="",$T19=0),$V19="Софт(TS)",OR($F19=4,$F19=6,$F19=8,$F19=10,$F19=16)),$AG19*Прайс!$F$11,IF(AND(OR($T19="",$T19=0),$V19="Глянець",OR($F19=4,$F19=6,$F19=8,$F19=10,$F19=16)),$AG19*Прайс!$F$12,IF(AND(OR($T19="Перл.ср.",$T19="Перл.зол."),OR($F19=4,$F19=6,$F19=8,$F19=10,$F19=16)),$AG19*Прайс!$F$13,IF(AND($T19="Гума",OR($F19=4,$F19=6,$F19=8,$F19=10,$F19=16)),$AG19*Прайс!$F$14,IF(AND($T19="Металік",OR($F19=4,$F19=6,$F19=8,$F19=10,$F19=16)),$AG19*Прайс!$F$15,IF(AND($T19="Рідке скло",OR($F19=4,$F19=6,$F19=8,$F19=10,$F19=16)),$AG19*Прайс!$F$16,IF(AND(OR($T19="Перли",$T19="Графіт"),OR($F19=4,$F19=6,$F19=8,$F19=10,$F19=16)),$AG19*Прайс!$F$17,IF(AND(OR($T19="Зор.н.ср.",$T19="Зор.н.зол.",$T19="Зор.н.різн."),OR($F19=4,$F19=6,$F19=8,$F19=10,$F19=16)),$AG19*Прайс!$F$18,IF(AND(,$T19="2-х кол.х.",OR($F19=4,$F19=6,$F19=8,$F19=10,$F19=16)),$AG19*Прайс!$F$19,IF(AND($T19="3-х кол.х.",OR($F19=4,$F19=6,$F19=8,$F19=10,$F19=16)),$AG19*Прайс!$F$20,IF(AND($T19="Фотодрук",OR($F19=4,$F19=6,$F19=8,$F19=10,$F19=16)),$AG19*Прайс!$F$21,0))))))))))))))</f>
        <v>0</v>
      </c>
      <c r="Y19" s="175">
        <f>IF(OR($C19=0,$C19=""),0,IF(AND(OR($T19="",$T19=0),$V19="Матове",$F19=19),$AG19*Прайс!$G$10,IF(AND(OR($T19="",$T19=0),$V19="Матове+акрил",$F19=19),$AG19*Прайс!#REF!,IF(AND(OR($T19="",$T19=0),$V19="Софт(TS)",$F19=19),$AG19*Прайс!$G$11,IF(AND(OR($T19="",$T19=0),$V19="Глянець",$F19=19),$AG19*Прайс!$G$12,IF(AND(OR($T19="Перл.ср.",$T19="Перл.зол."),$F19=19),$AG19*Прайс!$G$13,IF(AND($T19="Гума",$F19=19),$AG19*Прайс!$G$14,IF(AND($T19="Металік",$F19=19),$AG19*Прайс!$G$15,IF(AND($T19="Рідке скло",$F19=19),$AG19*Прайс!$G$16,IF(AND(OR($T19="Перли",$T19="Графіт"),$F19=19),$AG19*Прайс!$G$17,IF(AND(OR($T19="Зор.н.ср.",$T19="Зор.н.зол.",$T19="Зор.н.різн."),$F19=19),$AG19*Прайс!$G$18,IF(AND($T19="2-х кол.х.",$F19=19),$AG19*Прайс!$G$19,IF(AND($T19="3-х кол.х.",$F19=19),$AG19*Прайс!$G$20,IF(AND($T19="Фотодрук",$F19=19),$AG19*Прайс!$G$21,0))))))))))))))</f>
        <v>0</v>
      </c>
      <c r="Z19" s="175">
        <f>IF(OR($C19=0,$C19=""),0,IF(AND(OR($T19="",$T19=0),$W19="Матове",OR($F19=4,$F19=6,$F19=8,$F19=10,$F19=16,$F19=19)),$AG19*(Прайс!$F$10-500),IF(AND(OR($T19="",$T19=0),$W19="Матове+акрил",OR($F19=4,$F19=6,$F19=8,$F19=10,$F19=16,$F19=19)),$AG19*(Прайс!#REF!-500),IF(AND(OR($T19="",$T19=0),$W19="Софт(TS)",OR($F19=4,$F19=6,$F19=8,$F19=10,$F19=16,$F19=19)),$AG19*(Прайс!$F$11-500),IF(AND(OR($T19="",$T19=0),$W19="Глянець",OR($F19=4,$F19=6,$F19=8,$F19=10,$F19=16,$F19=19)),$AG19*(Прайс!$F$12-500),IF(AND(OR($T19="Перл.ср.",$T19="Перл.зол."),OR($F19=4,$F19=6,$F19=8,$F19=10,$F19=16,$F19=19)),$AG19*(Прайс!$F$13-500),IF(AND($T19="Гума",OR($F19=4,$F19=6,$F19=8,$F19=10,$F19=16,$F19=19)),$AG19*(Прайс!$F$14-500),IF(AND($T19="Металік",OR($F19=4,$F19=6,$F19=8,$F19=10,$F19=16,$F19=19)),$AG19*(Прайс!$F$15-500),IF(AND($T19="Рідке скло",OR($F19=4,$F19=6,$F19=8,$F19=10,$F19=16,$F19=19)),$AG19*(Прайс!$F$16-500),IF(AND(OR($T19="Перли",$T19="Графіт"),OR($F19=4,$F19=6,$F19=8,$F19=10,$F19=16,$F19=19)),$AG19*(Прайс!$F$17-500),IF(AND(OR($T19="Зор.н.ср.",$T19="Зор.н.зол.",$T19="Зор.н.різн."),OR($F19=4,$F19=6,$F19=8,$F19=10,$F19=16,$F19=19)),$AG19*(Прайс!$F$18-500),IF(AND(,$T19="2-х кол.х.",OR($F19=4,$F19=6,$F19=8,$F19=10,$F19=16,$F19=19)),$AG19*(Прайс!$F$19-500),IF(AND($T19="3-х кол.х.",OR($F19=4,$F19=6,$F19=8,$F19=10,$F19=16,$F19=19)),$AG19*(Прайс!$F$20-500),IF(AND($T19="Фотодрук",OR($F19=4,$F19=6,$F19=8,$F19=10,$F19=16,$F19=19)),$AG19*(Прайс!$F$21-500),0))))))))))))))</f>
        <v>0</v>
      </c>
      <c r="AA19" s="178">
        <f>IF(Бланк!AD37=0,0,Бланк!AD37*E19)</f>
        <v>0</v>
      </c>
      <c r="AB19" s="178">
        <f>Бланк!AE37</f>
        <v>0</v>
      </c>
      <c r="AC19" s="175">
        <f>IF(OR(AA$3=0,$AA19=""),0,$AA19*Прайс!$D$49)</f>
        <v>0</v>
      </c>
      <c r="AD19" s="178">
        <f>Бланк!AF37</f>
        <v>0</v>
      </c>
      <c r="AE19" s="178">
        <f>Бланк!AG37</f>
        <v>0</v>
      </c>
      <c r="AF19" s="178">
        <f>Бланк!AH37</f>
        <v>0</v>
      </c>
      <c r="AG19" s="123">
        <f>Бланк!$AI37</f>
        <v>0</v>
      </c>
      <c r="AH19" s="183"/>
      <c r="AI19" s="183"/>
      <c r="AJ19" s="183"/>
      <c r="AK19" s="183"/>
      <c r="AL19" s="184"/>
      <c r="AM19" s="184"/>
      <c r="AN19" s="184"/>
      <c r="AO19" s="184"/>
      <c r="AP19" s="185"/>
      <c r="AQ19" s="181"/>
    </row>
    <row r="20" spans="2:43" s="186" customFormat="1" ht="21" customHeight="1" x14ac:dyDescent="0.3">
      <c r="B20" s="182">
        <v>18</v>
      </c>
      <c r="C20" s="170" t="str">
        <f>IF(Бланк!$C38="","",Бланк!$C38/1000)</f>
        <v/>
      </c>
      <c r="D20" s="171" t="str">
        <f>IF(Бланк!$D38="","",Бланк!$D38/1000)</f>
        <v/>
      </c>
      <c r="E20" s="172" t="str">
        <f>IF(Бланк!E38="","",Бланк!E38)</f>
        <v/>
      </c>
      <c r="F20" s="172" t="str">
        <f>IF(Бланк!F38="","",Бланк!F38)</f>
        <v/>
      </c>
      <c r="G20" s="172" t="str">
        <f>IF(Бланк!H38="","",Бланк!H38)</f>
        <v/>
      </c>
      <c r="H20" s="172" t="str">
        <f>IF(Бланк!I38="","",Бланк!I38)</f>
        <v/>
      </c>
      <c r="I20" s="173" t="str">
        <f>IF(OR($C20="",$C20=0),"",IF($H20="Пряма з чвертю",(Прайс!$D$39+Прайс!$D$42)*Просчет!$E20,IF(Просчет!$H20="Пряма без чверті",Прайс!$D$39*Просчет!$E20,IF(AND(Просчет!$H20="Шпрос з чвертю",OR($C20&lt;1,$C20=1)),(Прайс!$D$40+Прайс!$D$43)*Просчет!$E20,IF(AND($H20="Шпрос з чвертю",$C20&gt;1),(Прайс!$F$40+Прайс!$D$43)*Просчет!$E20,IF(AND($H20="Шпрос без чверті",OR($C20&lt;1,$C20=1)),Прайс!$D$40*Просчет!$E20,IF(AND($H20="Шпрос без чверті",$C20&gt;1),Прайс!$F$40*Просчет!$E20,"")))))))</f>
        <v/>
      </c>
      <c r="J20" s="174" t="str">
        <f>IF(Бланк!$J38="","",Бланк!$J38/1000)</f>
        <v/>
      </c>
      <c r="K20" s="174">
        <f>Бланк!K38</f>
        <v>0</v>
      </c>
      <c r="L20" s="174">
        <f>Бланк!L38</f>
        <v>0</v>
      </c>
      <c r="M20" s="174">
        <f>Бланк!M38</f>
        <v>0</v>
      </c>
      <c r="N20" s="175">
        <f t="shared" si="0"/>
        <v>0</v>
      </c>
      <c r="O20" s="173">
        <f>IF($K20="","",IF(OR($K20="J № 1",$K20="J № 2",$K20="J № 2L",$K20="J № 2R",$K20="AJ № 2",$K20="AJ № 2L",$K20="AJ № 2R",$K20="U",$K20="V"),$N20*Прайс!$D$46,IF(OR($K20="AJ № 3R",$K20="AJ № 4R",$K20="AJ № 5R",$K20="AJ № 3L",$K20="AJ № 4L",$K20="AJ № 5L",$K20="AJ № 3",$K20="AJ № 4",$K20="AJ № 5",$K20="J № 3",$K20="J № 4",$K20="J № 5",$K20="J № 6",$K20="J № 7",$K20="L",$K20="AL"),Прайс!$D$47*$E20,IF(OR($K20="J № 3L",$K20="J № 3R",$K20="J № 4L",$K20="J № 4R",$K20="J № 5L",$K20="J № 5R"),$N20/2*Прайс!$D$47*$E20,IF($K20="45 град.",$N20*Прайс!$D$45,0)))))</f>
        <v>0</v>
      </c>
      <c r="P20" s="234">
        <f>IF($K20="",0,IF(OR($M20=$S20,$M20=0),0,$N20*Прайс!$D$62))</f>
        <v>0</v>
      </c>
      <c r="Q20" s="176">
        <f>Бланк!N38</f>
        <v>0</v>
      </c>
      <c r="R20" s="177">
        <f>Бланк!R38</f>
        <v>0</v>
      </c>
      <c r="S20" s="177">
        <f>Бланк!S38</f>
        <v>0</v>
      </c>
      <c r="T20" s="177" t="str">
        <f>IF(Бланк!T38="","",Бланк!T38)</f>
        <v/>
      </c>
      <c r="U20" s="177">
        <f>Бланк!U38</f>
        <v>0</v>
      </c>
      <c r="V20" s="177">
        <f>Бланк!AB38</f>
        <v>0</v>
      </c>
      <c r="W20" s="177">
        <f>Бланк!AC38</f>
        <v>0</v>
      </c>
      <c r="X20" s="175">
        <f>IF(OR($C20=0,$C20=""),0,IF(AND(OR($T20="",$T20=0),$V20="Матове",OR($F20=4,$F20=6,$F20=8,$F20=10,$F20=16)),$AG20*Прайс!$F$10,IF(AND(OR($T20="",$T20=0),$V20="Матове+акрил",OR($F20=4,$F20=6,$F20=8,$F20=10,$F20=16)),$AG20*Прайс!#REF!,IF(AND(OR($T20="",$T20=0),$V20="Софт(TS)",OR($F20=4,$F20=6,$F20=8,$F20=10,$F20=16)),$AG20*Прайс!$F$11,IF(AND(OR($T20="",$T20=0),$V20="Глянець",OR($F20=4,$F20=6,$F20=8,$F20=10,$F20=16)),$AG20*Прайс!$F$12,IF(AND(OR($T20="Перл.ср.",$T20="Перл.зол."),OR($F20=4,$F20=6,$F20=8,$F20=10,$F20=16)),$AG20*Прайс!$F$13,IF(AND($T20="Гума",OR($F20=4,$F20=6,$F20=8,$F20=10,$F20=16)),$AG20*Прайс!$F$14,IF(AND($T20="Металік",OR($F20=4,$F20=6,$F20=8,$F20=10,$F20=16)),$AG20*Прайс!$F$15,IF(AND($T20="Рідке скло",OR($F20=4,$F20=6,$F20=8,$F20=10,$F20=16)),$AG20*Прайс!$F$16,IF(AND(OR($T20="Перли",$T20="Графіт"),OR($F20=4,$F20=6,$F20=8,$F20=10,$F20=16)),$AG20*Прайс!$F$17,IF(AND(OR($T20="Зор.н.ср.",$T20="Зор.н.зол.",$T20="Зор.н.різн."),OR($F20=4,$F20=6,$F20=8,$F20=10,$F20=16)),$AG20*Прайс!$F$18,IF(AND(,$T20="2-х кол.х.",OR($F20=4,$F20=6,$F20=8,$F20=10,$F20=16)),$AG20*Прайс!$F$19,IF(AND($T20="3-х кол.х.",OR($F20=4,$F20=6,$F20=8,$F20=10,$F20=16)),$AG20*Прайс!$F$20,IF(AND($T20="Фотодрук",OR($F20=4,$F20=6,$F20=8,$F20=10,$F20=16)),$AG20*Прайс!$F$21,0))))))))))))))</f>
        <v>0</v>
      </c>
      <c r="Y20" s="175">
        <f>IF(OR($C20=0,$C20=""),0,IF(AND(OR($T20="",$T20=0),$V20="Матове",$F20=19),$AG20*Прайс!$G$10,IF(AND(OR($T20="",$T20=0),$V20="Матове+акрил",$F20=19),$AG20*Прайс!#REF!,IF(AND(OR($T20="",$T20=0),$V20="Софт(TS)",$F20=19),$AG20*Прайс!$G$11,IF(AND(OR($T20="",$T20=0),$V20="Глянець",$F20=19),$AG20*Прайс!$G$12,IF(AND(OR($T20="Перл.ср.",$T20="Перл.зол."),$F20=19),$AG20*Прайс!$G$13,IF(AND($T20="Гума",$F20=19),$AG20*Прайс!$G$14,IF(AND($T20="Металік",$F20=19),$AG20*Прайс!$G$15,IF(AND($T20="Рідке скло",$F20=19),$AG20*Прайс!$G$16,IF(AND(OR($T20="Перли",$T20="Графіт"),$F20=19),$AG20*Прайс!$G$17,IF(AND(OR($T20="Зор.н.ср.",$T20="Зор.н.зол.",$T20="Зор.н.різн."),$F20=19),$AG20*Прайс!$G$18,IF(AND($T20="2-х кол.х.",$F20=19),$AG20*Прайс!$G$19,IF(AND($T20="3-х кол.х.",$F20=19),$AG20*Прайс!$G$20,IF(AND($T20="Фотодрук",$F20=19),$AG20*Прайс!$G$21,0))))))))))))))</f>
        <v>0</v>
      </c>
      <c r="Z20" s="175">
        <f>IF(OR($C20=0,$C20=""),0,IF(AND(OR($T20="",$T20=0),$W20="Матове",OR($F20=4,$F20=6,$F20=8,$F20=10,$F20=16,$F20=19)),$AG20*(Прайс!$F$10-500),IF(AND(OR($T20="",$T20=0),$W20="Матове+акрил",OR($F20=4,$F20=6,$F20=8,$F20=10,$F20=16,$F20=19)),$AG20*(Прайс!#REF!-500),IF(AND(OR($T20="",$T20=0),$W20="Софт(TS)",OR($F20=4,$F20=6,$F20=8,$F20=10,$F20=16,$F20=19)),$AG20*(Прайс!$F$11-500),IF(AND(OR($T20="",$T20=0),$W20="Глянець",OR($F20=4,$F20=6,$F20=8,$F20=10,$F20=16,$F20=19)),$AG20*(Прайс!$F$12-500),IF(AND(OR($T20="Перл.ср.",$T20="Перл.зол."),OR($F20=4,$F20=6,$F20=8,$F20=10,$F20=16,$F20=19)),$AG20*(Прайс!$F$13-500),IF(AND($T20="Гума",OR($F20=4,$F20=6,$F20=8,$F20=10,$F20=16,$F20=19)),$AG20*(Прайс!$F$14-500),IF(AND($T20="Металік",OR($F20=4,$F20=6,$F20=8,$F20=10,$F20=16,$F20=19)),$AG20*(Прайс!$F$15-500),IF(AND($T20="Рідке скло",OR($F20=4,$F20=6,$F20=8,$F20=10,$F20=16,$F20=19)),$AG20*(Прайс!$F$16-500),IF(AND(OR($T20="Перли",$T20="Графіт"),OR($F20=4,$F20=6,$F20=8,$F20=10,$F20=16,$F20=19)),$AG20*(Прайс!$F$17-500),IF(AND(OR($T20="Зор.н.ср.",$T20="Зор.н.зол.",$T20="Зор.н.різн."),OR($F20=4,$F20=6,$F20=8,$F20=10,$F20=16,$F20=19)),$AG20*(Прайс!$F$18-500),IF(AND(,$T20="2-х кол.х.",OR($F20=4,$F20=6,$F20=8,$F20=10,$F20=16,$F20=19)),$AG20*(Прайс!$F$19-500),IF(AND($T20="3-х кол.х.",OR($F20=4,$F20=6,$F20=8,$F20=10,$F20=16,$F20=19)),$AG20*(Прайс!$F$20-500),IF(AND($T20="Фотодрук",OR($F20=4,$F20=6,$F20=8,$F20=10,$F20=16,$F20=19)),$AG20*(Прайс!$F$21-500),0))))))))))))))</f>
        <v>0</v>
      </c>
      <c r="AA20" s="178">
        <f>IF(Бланк!AD38=0,0,Бланк!AD38*E20)</f>
        <v>0</v>
      </c>
      <c r="AB20" s="178">
        <f>Бланк!AE38</f>
        <v>0</v>
      </c>
      <c r="AC20" s="175">
        <f>IF(OR(AA$3=0,$AA20=""),0,$AA20*Прайс!$D$49)</f>
        <v>0</v>
      </c>
      <c r="AD20" s="178">
        <f>Бланк!AF38</f>
        <v>0</v>
      </c>
      <c r="AE20" s="178">
        <f>Бланк!AG38</f>
        <v>0</v>
      </c>
      <c r="AF20" s="178">
        <f>Бланк!AH38</f>
        <v>0</v>
      </c>
      <c r="AG20" s="123">
        <f>Бланк!$AI38</f>
        <v>0</v>
      </c>
      <c r="AH20" s="183"/>
      <c r="AI20" s="183"/>
      <c r="AJ20" s="183"/>
      <c r="AK20" s="183"/>
      <c r="AL20" s="184"/>
      <c r="AM20" s="184"/>
      <c r="AN20" s="184"/>
      <c r="AO20" s="184"/>
      <c r="AP20" s="185"/>
      <c r="AQ20" s="181"/>
    </row>
    <row r="21" spans="2:43" s="186" customFormat="1" ht="21" customHeight="1" x14ac:dyDescent="0.3">
      <c r="B21" s="182">
        <v>19</v>
      </c>
      <c r="C21" s="170" t="str">
        <f>IF(Бланк!$C39="","",Бланк!$C39/1000)</f>
        <v/>
      </c>
      <c r="D21" s="171" t="str">
        <f>IF(Бланк!$D39="","",Бланк!$D39/1000)</f>
        <v/>
      </c>
      <c r="E21" s="172" t="str">
        <f>IF(Бланк!E39="","",Бланк!E39)</f>
        <v/>
      </c>
      <c r="F21" s="172" t="str">
        <f>IF(Бланк!F39="","",Бланк!F39)</f>
        <v/>
      </c>
      <c r="G21" s="172" t="str">
        <f>IF(Бланк!H39="","",Бланк!H39)</f>
        <v/>
      </c>
      <c r="H21" s="172" t="str">
        <f>IF(Бланк!I39="","",Бланк!I39)</f>
        <v/>
      </c>
      <c r="I21" s="173" t="str">
        <f>IF(OR($C21="",$C21=0),"",IF($H21="Пряма з чвертю",(Прайс!$D$39+Прайс!$D$42)*Просчет!$E21,IF(Просчет!$H21="Пряма без чверті",Прайс!$D$39*Просчет!$E21,IF(AND(Просчет!$H21="Шпрос з чвертю",OR($C21&lt;1,$C21=1)),(Прайс!$D$40+Прайс!$D$43)*Просчет!$E21,IF(AND($H21="Шпрос з чвертю",$C21&gt;1),(Прайс!$F$40+Прайс!$D$43)*Просчет!$E21,IF(AND($H21="Шпрос без чверті",OR($C21&lt;1,$C21=1)),Прайс!$D$40*Просчет!$E21,IF(AND($H21="Шпрос без чверті",$C21&gt;1),Прайс!$F$40*Просчет!$E21,"")))))))</f>
        <v/>
      </c>
      <c r="J21" s="174" t="str">
        <f>IF(Бланк!$J39="","",Бланк!$J39/1000)</f>
        <v/>
      </c>
      <c r="K21" s="174">
        <f>Бланк!K39</f>
        <v>0</v>
      </c>
      <c r="L21" s="174">
        <f>Бланк!L39</f>
        <v>0</v>
      </c>
      <c r="M21" s="174">
        <f>Бланк!M39</f>
        <v>0</v>
      </c>
      <c r="N21" s="175">
        <f t="shared" si="0"/>
        <v>0</v>
      </c>
      <c r="O21" s="173">
        <f>IF($K21="","",IF(OR($K21="J № 1",$K21="J № 2",$K21="J № 2L",$K21="J № 2R",$K21="AJ № 2",$K21="AJ № 2L",$K21="AJ № 2R",$K21="U",$K21="V"),$N21*Прайс!$D$46,IF(OR($K21="AJ № 3R",$K21="AJ № 4R",$K21="AJ № 5R",$K21="AJ № 3L",$K21="AJ № 4L",$K21="AJ № 5L",$K21="AJ № 3",$K21="AJ № 4",$K21="AJ № 5",$K21="J № 3",$K21="J № 4",$K21="J № 5",$K21="J № 6",$K21="J № 7",$K21="L",$K21="AL"),Прайс!$D$47*$E21,IF(OR($K21="J № 3L",$K21="J № 3R",$K21="J № 4L",$K21="J № 4R",$K21="J № 5L",$K21="J № 5R"),$N21/2*Прайс!$D$47*$E21,IF($K21="45 град.",$N21*Прайс!$D$45,0)))))</f>
        <v>0</v>
      </c>
      <c r="P21" s="234">
        <f>IF($K21="",0,IF(OR($M21=$S21,$M21=0),0,$N21*Прайс!$D$62))</f>
        <v>0</v>
      </c>
      <c r="Q21" s="176">
        <f>Бланк!N39</f>
        <v>0</v>
      </c>
      <c r="R21" s="177">
        <f>Бланк!R39</f>
        <v>0</v>
      </c>
      <c r="S21" s="177">
        <f>Бланк!S39</f>
        <v>0</v>
      </c>
      <c r="T21" s="177" t="str">
        <f>IF(Бланк!T39="","",Бланк!T39)</f>
        <v/>
      </c>
      <c r="U21" s="177">
        <f>Бланк!U39</f>
        <v>0</v>
      </c>
      <c r="V21" s="177">
        <f>Бланк!AB39</f>
        <v>0</v>
      </c>
      <c r="W21" s="177">
        <f>Бланк!AC39</f>
        <v>0</v>
      </c>
      <c r="X21" s="175">
        <f>IF(OR($C21=0,$C21=""),0,IF(AND(OR($T21="",$T21=0),$V21="Матове",OR($F21=4,$F21=6,$F21=8,$F21=10,$F21=16)),$AG21*Прайс!$F$10,IF(AND(OR($T21="",$T21=0),$V21="Матове+акрил",OR($F21=4,$F21=6,$F21=8,$F21=10,$F21=16)),$AG21*Прайс!#REF!,IF(AND(OR($T21="",$T21=0),$V21="Софт(TS)",OR($F21=4,$F21=6,$F21=8,$F21=10,$F21=16)),$AG21*Прайс!$F$11,IF(AND(OR($T21="",$T21=0),$V21="Глянець",OR($F21=4,$F21=6,$F21=8,$F21=10,$F21=16)),$AG21*Прайс!$F$12,IF(AND(OR($T21="Перл.ср.",$T21="Перл.зол."),OR($F21=4,$F21=6,$F21=8,$F21=10,$F21=16)),$AG21*Прайс!$F$13,IF(AND($T21="Гума",OR($F21=4,$F21=6,$F21=8,$F21=10,$F21=16)),$AG21*Прайс!$F$14,IF(AND($T21="Металік",OR($F21=4,$F21=6,$F21=8,$F21=10,$F21=16)),$AG21*Прайс!$F$15,IF(AND($T21="Рідке скло",OR($F21=4,$F21=6,$F21=8,$F21=10,$F21=16)),$AG21*Прайс!$F$16,IF(AND(OR($T21="Перли",$T21="Графіт"),OR($F21=4,$F21=6,$F21=8,$F21=10,$F21=16)),$AG21*Прайс!$F$17,IF(AND(OR($T21="Зор.н.ср.",$T21="Зор.н.зол.",$T21="Зор.н.різн."),OR($F21=4,$F21=6,$F21=8,$F21=10,$F21=16)),$AG21*Прайс!$F$18,IF(AND(,$T21="2-х кол.х.",OR($F21=4,$F21=6,$F21=8,$F21=10,$F21=16)),$AG21*Прайс!$F$19,IF(AND($T21="3-х кол.х.",OR($F21=4,$F21=6,$F21=8,$F21=10,$F21=16)),$AG21*Прайс!$F$20,IF(AND($T21="Фотодрук",OR($F21=4,$F21=6,$F21=8,$F21=10,$F21=16)),$AG21*Прайс!$F$21,0))))))))))))))</f>
        <v>0</v>
      </c>
      <c r="Y21" s="175">
        <f>IF(OR($C21=0,$C21=""),0,IF(AND(OR($T21="",$T21=0),$V21="Матове",$F21=19),$AG21*Прайс!$G$10,IF(AND(OR($T21="",$T21=0),$V21="Матове+акрил",$F21=19),$AG21*Прайс!#REF!,IF(AND(OR($T21="",$T21=0),$V21="Софт(TS)",$F21=19),$AG21*Прайс!$G$11,IF(AND(OR($T21="",$T21=0),$V21="Глянець",$F21=19),$AG21*Прайс!$G$12,IF(AND(OR($T21="Перл.ср.",$T21="Перл.зол."),$F21=19),$AG21*Прайс!$G$13,IF(AND($T21="Гума",$F21=19),$AG21*Прайс!$G$14,IF(AND($T21="Металік",$F21=19),$AG21*Прайс!$G$15,IF(AND($T21="Рідке скло",$F21=19),$AG21*Прайс!$G$16,IF(AND(OR($T21="Перли",$T21="Графіт"),$F21=19),$AG21*Прайс!$G$17,IF(AND(OR($T21="Зор.н.ср.",$T21="Зор.н.зол.",$T21="Зор.н.різн."),$F21=19),$AG21*Прайс!$G$18,IF(AND($T21="2-х кол.х.",$F21=19),$AG21*Прайс!$G$19,IF(AND($T21="3-х кол.х.",$F21=19),$AG21*Прайс!$G$20,IF(AND($T21="Фотодрук",$F21=19),$AG21*Прайс!$G$21,0))))))))))))))</f>
        <v>0</v>
      </c>
      <c r="Z21" s="175">
        <f>IF(OR($C21=0,$C21=""),0,IF(AND(OR($T21="",$T21=0),$W21="Матове",OR($F21=4,$F21=6,$F21=8,$F21=10,$F21=16,$F21=19)),$AG21*(Прайс!$F$10-500),IF(AND(OR($T21="",$T21=0),$W21="Матове+акрил",OR($F21=4,$F21=6,$F21=8,$F21=10,$F21=16,$F21=19)),$AG21*(Прайс!#REF!-500),IF(AND(OR($T21="",$T21=0),$W21="Софт(TS)",OR($F21=4,$F21=6,$F21=8,$F21=10,$F21=16,$F21=19)),$AG21*(Прайс!$F$11-500),IF(AND(OR($T21="",$T21=0),$W21="Глянець",OR($F21=4,$F21=6,$F21=8,$F21=10,$F21=16,$F21=19)),$AG21*(Прайс!$F$12-500),IF(AND(OR($T21="Перл.ср.",$T21="Перл.зол."),OR($F21=4,$F21=6,$F21=8,$F21=10,$F21=16,$F21=19)),$AG21*(Прайс!$F$13-500),IF(AND($T21="Гума",OR($F21=4,$F21=6,$F21=8,$F21=10,$F21=16,$F21=19)),$AG21*(Прайс!$F$14-500),IF(AND($T21="Металік",OR($F21=4,$F21=6,$F21=8,$F21=10,$F21=16,$F21=19)),$AG21*(Прайс!$F$15-500),IF(AND($T21="Рідке скло",OR($F21=4,$F21=6,$F21=8,$F21=10,$F21=16,$F21=19)),$AG21*(Прайс!$F$16-500),IF(AND(OR($T21="Перли",$T21="Графіт"),OR($F21=4,$F21=6,$F21=8,$F21=10,$F21=16,$F21=19)),$AG21*(Прайс!$F$17-500),IF(AND(OR($T21="Зор.н.ср.",$T21="Зор.н.зол.",$T21="Зор.н.різн."),OR($F21=4,$F21=6,$F21=8,$F21=10,$F21=16,$F21=19)),$AG21*(Прайс!$F$18-500),IF(AND(,$T21="2-х кол.х.",OR($F21=4,$F21=6,$F21=8,$F21=10,$F21=16,$F21=19)),$AG21*(Прайс!$F$19-500),IF(AND($T21="3-х кол.х.",OR($F21=4,$F21=6,$F21=8,$F21=10,$F21=16,$F21=19)),$AG21*(Прайс!$F$20-500),IF(AND($T21="Фотодрук",OR($F21=4,$F21=6,$F21=8,$F21=10,$F21=16,$F21=19)),$AG21*(Прайс!$F$21-500),0))))))))))))))</f>
        <v>0</v>
      </c>
      <c r="AA21" s="178">
        <f>IF(Бланк!AD39=0,0,Бланк!AD39*E21)</f>
        <v>0</v>
      </c>
      <c r="AB21" s="178">
        <f>Бланк!AE39</f>
        <v>0</v>
      </c>
      <c r="AC21" s="175">
        <f>IF(OR(AA$3=0,$AA21=""),0,$AA21*Прайс!$D$49)</f>
        <v>0</v>
      </c>
      <c r="AD21" s="178">
        <f>Бланк!AF39</f>
        <v>0</v>
      </c>
      <c r="AE21" s="178">
        <f>Бланк!AG39</f>
        <v>0</v>
      </c>
      <c r="AF21" s="178">
        <f>Бланк!AH39</f>
        <v>0</v>
      </c>
      <c r="AG21" s="123">
        <f>Бланк!$AI39</f>
        <v>0</v>
      </c>
      <c r="AH21" s="183"/>
      <c r="AI21" s="183"/>
      <c r="AJ21" s="183"/>
      <c r="AK21" s="183"/>
      <c r="AL21" s="184"/>
      <c r="AM21" s="184"/>
      <c r="AN21" s="184"/>
      <c r="AO21" s="184"/>
      <c r="AP21" s="185"/>
      <c r="AQ21" s="181"/>
    </row>
    <row r="22" spans="2:43" s="186" customFormat="1" ht="21" customHeight="1" x14ac:dyDescent="0.3">
      <c r="B22" s="182">
        <v>20</v>
      </c>
      <c r="C22" s="170" t="str">
        <f>IF(Бланк!$C40="","",Бланк!$C40/1000)</f>
        <v/>
      </c>
      <c r="D22" s="171" t="str">
        <f>IF(Бланк!$D40="","",Бланк!$D40/1000)</f>
        <v/>
      </c>
      <c r="E22" s="172" t="str">
        <f>IF(Бланк!E40="","",Бланк!E40)</f>
        <v/>
      </c>
      <c r="F22" s="172" t="str">
        <f>IF(Бланк!F40="","",Бланк!F40)</f>
        <v/>
      </c>
      <c r="G22" s="172" t="str">
        <f>IF(Бланк!H40="","",Бланк!H40)</f>
        <v/>
      </c>
      <c r="H22" s="172" t="str">
        <f>IF(Бланк!I40="","",Бланк!I40)</f>
        <v/>
      </c>
      <c r="I22" s="173" t="str">
        <f>IF(OR($C22="",$C22=0),"",IF($H22="Пряма з чвертю",(Прайс!$D$39+Прайс!$D$42)*Просчет!$E22,IF(Просчет!$H22="Пряма без чверті",Прайс!$D$39*Просчет!$E22,IF(AND(Просчет!$H22="Шпрос з чвертю",OR($C22&lt;1,$C22=1)),(Прайс!$D$40+Прайс!$D$43)*Просчет!$E22,IF(AND($H22="Шпрос з чвертю",$C22&gt;1),(Прайс!$F$40+Прайс!$D$43)*Просчет!$E22,IF(AND($H22="Шпрос без чверті",OR($C22&lt;1,$C22=1)),Прайс!$D$40*Просчет!$E22,IF(AND($H22="Шпрос без чверті",$C22&gt;1),Прайс!$F$40*Просчет!$E22,"")))))))</f>
        <v/>
      </c>
      <c r="J22" s="174" t="str">
        <f>IF(Бланк!$J40="","",Бланк!$J40/1000)</f>
        <v/>
      </c>
      <c r="K22" s="174">
        <f>Бланк!K40</f>
        <v>0</v>
      </c>
      <c r="L22" s="174">
        <f>Бланк!L40</f>
        <v>0</v>
      </c>
      <c r="M22" s="174">
        <f>Бланк!M40</f>
        <v>0</v>
      </c>
      <c r="N22" s="175">
        <f t="shared" si="0"/>
        <v>0</v>
      </c>
      <c r="O22" s="173">
        <f>IF($K22="","",IF(OR($K22="J № 1",$K22="J № 2",$K22="J № 2L",$K22="J № 2R",$K22="AJ № 2",$K22="AJ № 2L",$K22="AJ № 2R",$K22="U",$K22="V"),$N22*Прайс!$D$46,IF(OR($K22="AJ № 3R",$K22="AJ № 4R",$K22="AJ № 5R",$K22="AJ № 3L",$K22="AJ № 4L",$K22="AJ № 5L",$K22="AJ № 3",$K22="AJ № 4",$K22="AJ № 5",$K22="J № 3",$K22="J № 4",$K22="J № 5",$K22="J № 6",$K22="J № 7",$K22="L",$K22="AL"),Прайс!$D$47*$E22,IF(OR($K22="J № 3L",$K22="J № 3R",$K22="J № 4L",$K22="J № 4R",$K22="J № 5L",$K22="J № 5R"),$N22/2*Прайс!$D$47*$E22,IF($K22="45 град.",$N22*Прайс!$D$45,0)))))</f>
        <v>0</v>
      </c>
      <c r="P22" s="234">
        <f>IF($K22="",0,IF(OR($M22=$S22,$M22=0),0,$N22*Прайс!$D$62))</f>
        <v>0</v>
      </c>
      <c r="Q22" s="176">
        <f>Бланк!N40</f>
        <v>0</v>
      </c>
      <c r="R22" s="177">
        <f>Бланк!R40</f>
        <v>0</v>
      </c>
      <c r="S22" s="177">
        <f>Бланк!S40</f>
        <v>0</v>
      </c>
      <c r="T22" s="177" t="str">
        <f>IF(Бланк!T40="","",Бланк!T40)</f>
        <v/>
      </c>
      <c r="U22" s="177">
        <f>Бланк!U40</f>
        <v>0</v>
      </c>
      <c r="V22" s="177">
        <f>Бланк!AB40</f>
        <v>0</v>
      </c>
      <c r="W22" s="177">
        <f>Бланк!AC40</f>
        <v>0</v>
      </c>
      <c r="X22" s="175">
        <f>IF(OR($C22=0,$C22=""),0,IF(AND(OR($T22="",$T22=0),$V22="Матове",OR($F22=4,$F22=6,$F22=8,$F22=10,$F22=16)),$AG22*Прайс!$F$10,IF(AND(OR($T22="",$T22=0),$V22="Матове+акрил",OR($F22=4,$F22=6,$F22=8,$F22=10,$F22=16)),$AG22*Прайс!#REF!,IF(AND(OR($T22="",$T22=0),$V22="Софт(TS)",OR($F22=4,$F22=6,$F22=8,$F22=10,$F22=16)),$AG22*Прайс!$F$11,IF(AND(OR($T22="",$T22=0),$V22="Глянець",OR($F22=4,$F22=6,$F22=8,$F22=10,$F22=16)),$AG22*Прайс!$F$12,IF(AND(OR($T22="Перл.ср.",$T22="Перл.зол."),OR($F22=4,$F22=6,$F22=8,$F22=10,$F22=16)),$AG22*Прайс!$F$13,IF(AND($T22="Гума",OR($F22=4,$F22=6,$F22=8,$F22=10,$F22=16)),$AG22*Прайс!$F$14,IF(AND($T22="Металік",OR($F22=4,$F22=6,$F22=8,$F22=10,$F22=16)),$AG22*Прайс!$F$15,IF(AND($T22="Рідке скло",OR($F22=4,$F22=6,$F22=8,$F22=10,$F22=16)),$AG22*Прайс!$F$16,IF(AND(OR($T22="Перли",$T22="Графіт"),OR($F22=4,$F22=6,$F22=8,$F22=10,$F22=16)),$AG22*Прайс!$F$17,IF(AND(OR($T22="Зор.н.ср.",$T22="Зор.н.зол.",$T22="Зор.н.різн."),OR($F22=4,$F22=6,$F22=8,$F22=10,$F22=16)),$AG22*Прайс!$F$18,IF(AND(,$T22="2-х кол.х.",OR($F22=4,$F22=6,$F22=8,$F22=10,$F22=16)),$AG22*Прайс!$F$19,IF(AND($T22="3-х кол.х.",OR($F22=4,$F22=6,$F22=8,$F22=10,$F22=16)),$AG22*Прайс!$F$20,IF(AND($T22="Фотодрук",OR($F22=4,$F22=6,$F22=8,$F22=10,$F22=16)),$AG22*Прайс!$F$21,0))))))))))))))</f>
        <v>0</v>
      </c>
      <c r="Y22" s="175">
        <f>IF(OR($C22=0,$C22=""),0,IF(AND(OR($T22="",$T22=0),$V22="Матове",$F22=19),$AG22*Прайс!$G$10,IF(AND(OR($T22="",$T22=0),$V22="Матове+акрил",$F22=19),$AG22*Прайс!#REF!,IF(AND(OR($T22="",$T22=0),$V22="Софт(TS)",$F22=19),$AG22*Прайс!$G$11,IF(AND(OR($T22="",$T22=0),$V22="Глянець",$F22=19),$AG22*Прайс!$G$12,IF(AND(OR($T22="Перл.ср.",$T22="Перл.зол."),$F22=19),$AG22*Прайс!$G$13,IF(AND($T22="Гума",$F22=19),$AG22*Прайс!$G$14,IF(AND($T22="Металік",$F22=19),$AG22*Прайс!$G$15,IF(AND($T22="Рідке скло",$F22=19),$AG22*Прайс!$G$16,IF(AND(OR($T22="Перли",$T22="Графіт"),$F22=19),$AG22*Прайс!$G$17,IF(AND(OR($T22="Зор.н.ср.",$T22="Зор.н.зол.",$T22="Зор.н.різн."),$F22=19),$AG22*Прайс!$G$18,IF(AND($T22="2-х кол.х.",$F22=19),$AG22*Прайс!$G$19,IF(AND($T22="3-х кол.х.",$F22=19),$AG22*Прайс!$G$20,IF(AND($T22="Фотодрук",$F22=19),$AG22*Прайс!$G$21,0))))))))))))))</f>
        <v>0</v>
      </c>
      <c r="Z22" s="175">
        <f>IF(OR($C22=0,$C22=""),0,IF(AND(OR($T22="",$T22=0),$W22="Матове",OR($F22=4,$F22=6,$F22=8,$F22=10,$F22=16,$F22=19)),$AG22*(Прайс!$F$10-500),IF(AND(OR($T22="",$T22=0),$W22="Матове+акрил",OR($F22=4,$F22=6,$F22=8,$F22=10,$F22=16,$F22=19)),$AG22*(Прайс!#REF!-500),IF(AND(OR($T22="",$T22=0),$W22="Софт(TS)",OR($F22=4,$F22=6,$F22=8,$F22=10,$F22=16,$F22=19)),$AG22*(Прайс!$F$11-500),IF(AND(OR($T22="",$T22=0),$W22="Глянець",OR($F22=4,$F22=6,$F22=8,$F22=10,$F22=16,$F22=19)),$AG22*(Прайс!$F$12-500),IF(AND(OR($T22="Перл.ср.",$T22="Перл.зол."),OR($F22=4,$F22=6,$F22=8,$F22=10,$F22=16,$F22=19)),$AG22*(Прайс!$F$13-500),IF(AND($T22="Гума",OR($F22=4,$F22=6,$F22=8,$F22=10,$F22=16,$F22=19)),$AG22*(Прайс!$F$14-500),IF(AND($T22="Металік",OR($F22=4,$F22=6,$F22=8,$F22=10,$F22=16,$F22=19)),$AG22*(Прайс!$F$15-500),IF(AND($T22="Рідке скло",OR($F22=4,$F22=6,$F22=8,$F22=10,$F22=16,$F22=19)),$AG22*(Прайс!$F$16-500),IF(AND(OR($T22="Перли",$T22="Графіт"),OR($F22=4,$F22=6,$F22=8,$F22=10,$F22=16,$F22=19)),$AG22*(Прайс!$F$17-500),IF(AND(OR($T22="Зор.н.ср.",$T22="Зор.н.зол.",$T22="Зор.н.різн."),OR($F22=4,$F22=6,$F22=8,$F22=10,$F22=16,$F22=19)),$AG22*(Прайс!$F$18-500),IF(AND(,$T22="2-х кол.х.",OR($F22=4,$F22=6,$F22=8,$F22=10,$F22=16,$F22=19)),$AG22*(Прайс!$F$19-500),IF(AND($T22="3-х кол.х.",OR($F22=4,$F22=6,$F22=8,$F22=10,$F22=16,$F22=19)),$AG22*(Прайс!$F$20-500),IF(AND($T22="Фотодрук",OR($F22=4,$F22=6,$F22=8,$F22=10,$F22=16,$F22=19)),$AG22*(Прайс!$F$21-500),0))))))))))))))</f>
        <v>0</v>
      </c>
      <c r="AA22" s="178">
        <f>IF(Бланк!AD40=0,0,Бланк!AD40*E22)</f>
        <v>0</v>
      </c>
      <c r="AB22" s="178">
        <f>Бланк!AE40</f>
        <v>0</v>
      </c>
      <c r="AC22" s="175">
        <f>IF(OR(AA$3=0,$AA22=""),0,$AA22*Прайс!$D$49)</f>
        <v>0</v>
      </c>
      <c r="AD22" s="178">
        <f>Бланк!AF40</f>
        <v>0</v>
      </c>
      <c r="AE22" s="178">
        <f>Бланк!AG40</f>
        <v>0</v>
      </c>
      <c r="AF22" s="178">
        <f>Бланк!AH40</f>
        <v>0</v>
      </c>
      <c r="AG22" s="123">
        <f>Бланк!$AI40</f>
        <v>0</v>
      </c>
      <c r="AH22" s="183"/>
      <c r="AI22" s="183"/>
      <c r="AJ22" s="183"/>
      <c r="AK22" s="183"/>
      <c r="AL22" s="184"/>
      <c r="AM22" s="184"/>
      <c r="AN22" s="184"/>
      <c r="AO22" s="184"/>
      <c r="AP22" s="185"/>
      <c r="AQ22" s="181"/>
    </row>
    <row r="23" spans="2:43" s="186" customFormat="1" ht="21" customHeight="1" x14ac:dyDescent="0.3">
      <c r="B23" s="182">
        <v>21</v>
      </c>
      <c r="C23" s="170" t="str">
        <f>IF(Бланк!$C41="","",Бланк!$C41/1000)</f>
        <v/>
      </c>
      <c r="D23" s="171" t="str">
        <f>IF(Бланк!$D41="","",Бланк!$D41/1000)</f>
        <v/>
      </c>
      <c r="E23" s="172" t="str">
        <f>IF(Бланк!E41="","",Бланк!E41)</f>
        <v/>
      </c>
      <c r="F23" s="172" t="str">
        <f>IF(Бланк!F41="","",Бланк!F41)</f>
        <v/>
      </c>
      <c r="G23" s="172" t="str">
        <f>IF(Бланк!H41="","",Бланк!H41)</f>
        <v/>
      </c>
      <c r="H23" s="172" t="str">
        <f>IF(Бланк!I41="","",Бланк!I41)</f>
        <v/>
      </c>
      <c r="I23" s="173" t="str">
        <f>IF(OR($C23="",$C23=0),"",IF($H23="Пряма з чвертю",(Прайс!$D$39+Прайс!$D$42)*Просчет!$E23,IF(Просчет!$H23="Пряма без чверті",Прайс!$D$39*Просчет!$E23,IF(AND(Просчет!$H23="Шпрос з чвертю",OR($C23&lt;1,$C23=1)),(Прайс!$D$40+Прайс!$D$43)*Просчет!$E23,IF(AND($H23="Шпрос з чвертю",$C23&gt;1),(Прайс!$F$40+Прайс!$D$43)*Просчет!$E23,IF(AND($H23="Шпрос без чверті",OR($C23&lt;1,$C23=1)),Прайс!$D$40*Просчет!$E23,IF(AND($H23="Шпрос без чверті",$C23&gt;1),Прайс!$F$40*Просчет!$E23,"")))))))</f>
        <v/>
      </c>
      <c r="J23" s="174" t="str">
        <f>IF(Бланк!$J41="","",Бланк!$J41/1000)</f>
        <v/>
      </c>
      <c r="K23" s="174">
        <f>Бланк!K41</f>
        <v>0</v>
      </c>
      <c r="L23" s="174">
        <f>Бланк!L41</f>
        <v>0</v>
      </c>
      <c r="M23" s="174">
        <f>Бланк!M41</f>
        <v>0</v>
      </c>
      <c r="N23" s="175">
        <f t="shared" si="0"/>
        <v>0</v>
      </c>
      <c r="O23" s="173">
        <f>IF($K23="","",IF(OR($K23="J № 1",$K23="J № 2",$K23="J № 2L",$K23="J № 2R",$K23="AJ № 2",$K23="AJ № 2L",$K23="AJ № 2R",$K23="U",$K23="V"),$N23*Прайс!$D$46,IF(OR($K23="AJ № 3R",$K23="AJ № 4R",$K23="AJ № 5R",$K23="AJ № 3L",$K23="AJ № 4L",$K23="AJ № 5L",$K23="AJ № 3",$K23="AJ № 4",$K23="AJ № 5",$K23="J № 3",$K23="J № 4",$K23="J № 5",$K23="J № 6",$K23="J № 7",$K23="L",$K23="AL"),Прайс!$D$47*$E23,IF(OR($K23="J № 3L",$K23="J № 3R",$K23="J № 4L",$K23="J № 4R",$K23="J № 5L",$K23="J № 5R"),$N23/2*Прайс!$D$47*$E23,IF($K23="45 град.",$N23*Прайс!$D$45,0)))))</f>
        <v>0</v>
      </c>
      <c r="P23" s="234">
        <f>IF($K23="",0,IF(OR($M23=$S23,$M23=0),0,$N23*Прайс!$D$62))</f>
        <v>0</v>
      </c>
      <c r="Q23" s="176">
        <f>Бланк!N41</f>
        <v>0</v>
      </c>
      <c r="R23" s="177">
        <f>Бланк!R41</f>
        <v>0</v>
      </c>
      <c r="S23" s="177">
        <f>Бланк!S41</f>
        <v>0</v>
      </c>
      <c r="T23" s="177" t="str">
        <f>IF(Бланк!T41="","",Бланк!T41)</f>
        <v/>
      </c>
      <c r="U23" s="177">
        <f>Бланк!U41</f>
        <v>0</v>
      </c>
      <c r="V23" s="177">
        <f>Бланк!AB41</f>
        <v>0</v>
      </c>
      <c r="W23" s="177">
        <f>Бланк!AC41</f>
        <v>0</v>
      </c>
      <c r="X23" s="175">
        <f>IF(OR($C23=0,$C23=""),0,IF(AND(OR($T23="",$T23=0),$V23="Матове",OR($F23=4,$F23=6,$F23=8,$F23=10,$F23=16)),$AG23*Прайс!$F$10,IF(AND(OR($T23="",$T23=0),$V23="Матове+акрил",OR($F23=4,$F23=6,$F23=8,$F23=10,$F23=16)),$AG23*Прайс!#REF!,IF(AND(OR($T23="",$T23=0),$V23="Софт(TS)",OR($F23=4,$F23=6,$F23=8,$F23=10,$F23=16)),$AG23*Прайс!$F$11,IF(AND(OR($T23="",$T23=0),$V23="Глянець",OR($F23=4,$F23=6,$F23=8,$F23=10,$F23=16)),$AG23*Прайс!$F$12,IF(AND(OR($T23="Перл.ср.",$T23="Перл.зол."),OR($F23=4,$F23=6,$F23=8,$F23=10,$F23=16)),$AG23*Прайс!$F$13,IF(AND($T23="Гума",OR($F23=4,$F23=6,$F23=8,$F23=10,$F23=16)),$AG23*Прайс!$F$14,IF(AND($T23="Металік",OR($F23=4,$F23=6,$F23=8,$F23=10,$F23=16)),$AG23*Прайс!$F$15,IF(AND($T23="Рідке скло",OR($F23=4,$F23=6,$F23=8,$F23=10,$F23=16)),$AG23*Прайс!$F$16,IF(AND(OR($T23="Перли",$T23="Графіт"),OR($F23=4,$F23=6,$F23=8,$F23=10,$F23=16)),$AG23*Прайс!$F$17,IF(AND(OR($T23="Зор.н.ср.",$T23="Зор.н.зол.",$T23="Зор.н.різн."),OR($F23=4,$F23=6,$F23=8,$F23=10,$F23=16)),$AG23*Прайс!$F$18,IF(AND(,$T23="2-х кол.х.",OR($F23=4,$F23=6,$F23=8,$F23=10,$F23=16)),$AG23*Прайс!$F$19,IF(AND($T23="3-х кол.х.",OR($F23=4,$F23=6,$F23=8,$F23=10,$F23=16)),$AG23*Прайс!$F$20,IF(AND($T23="Фотодрук",OR($F23=4,$F23=6,$F23=8,$F23=10,$F23=16)),$AG23*Прайс!$F$21,0))))))))))))))</f>
        <v>0</v>
      </c>
      <c r="Y23" s="175">
        <f>IF(OR($C23=0,$C23=""),0,IF(AND(OR($T23="",$T23=0),$V23="Матове",$F23=19),$AG23*Прайс!$G$10,IF(AND(OR($T23="",$T23=0),$V23="Матове+акрил",$F23=19),$AG23*Прайс!#REF!,IF(AND(OR($T23="",$T23=0),$V23="Софт(TS)",$F23=19),$AG23*Прайс!$G$11,IF(AND(OR($T23="",$T23=0),$V23="Глянець",$F23=19),$AG23*Прайс!$G$12,IF(AND(OR($T23="Перл.ср.",$T23="Перл.зол."),$F23=19),$AG23*Прайс!$G$13,IF(AND($T23="Гума",$F23=19),$AG23*Прайс!$G$14,IF(AND($T23="Металік",$F23=19),$AG23*Прайс!$G$15,IF(AND($T23="Рідке скло",$F23=19),$AG23*Прайс!$G$16,IF(AND(OR($T23="Перли",$T23="Графіт"),$F23=19),$AG23*Прайс!$G$17,IF(AND(OR($T23="Зор.н.ср.",$T23="Зор.н.зол.",$T23="Зор.н.різн."),$F23=19),$AG23*Прайс!$G$18,IF(AND($T23="2-х кол.х.",$F23=19),$AG23*Прайс!$G$19,IF(AND($T23="3-х кол.х.",$F23=19),$AG23*Прайс!$G$20,IF(AND($T23="Фотодрук",$F23=19),$AG23*Прайс!$G$21,0))))))))))))))</f>
        <v>0</v>
      </c>
      <c r="Z23" s="175">
        <f>IF(OR($C23=0,$C23=""),0,IF(AND(OR($T23="",$T23=0),$W23="Матове",OR($F23=4,$F23=6,$F23=8,$F23=10,$F23=16,$F23=19)),$AG23*(Прайс!$F$10-500),IF(AND(OR($T23="",$T23=0),$W23="Матове+акрил",OR($F23=4,$F23=6,$F23=8,$F23=10,$F23=16,$F23=19)),$AG23*(Прайс!#REF!-500),IF(AND(OR($T23="",$T23=0),$W23="Софт(TS)",OR($F23=4,$F23=6,$F23=8,$F23=10,$F23=16,$F23=19)),$AG23*(Прайс!$F$11-500),IF(AND(OR($T23="",$T23=0),$W23="Глянець",OR($F23=4,$F23=6,$F23=8,$F23=10,$F23=16,$F23=19)),$AG23*(Прайс!$F$12-500),IF(AND(OR($T23="Перл.ср.",$T23="Перл.зол."),OR($F23=4,$F23=6,$F23=8,$F23=10,$F23=16,$F23=19)),$AG23*(Прайс!$F$13-500),IF(AND($T23="Гума",OR($F23=4,$F23=6,$F23=8,$F23=10,$F23=16,$F23=19)),$AG23*(Прайс!$F$14-500),IF(AND($T23="Металік",OR($F23=4,$F23=6,$F23=8,$F23=10,$F23=16,$F23=19)),$AG23*(Прайс!$F$15-500),IF(AND($T23="Рідке скло",OR($F23=4,$F23=6,$F23=8,$F23=10,$F23=16,$F23=19)),$AG23*(Прайс!$F$16-500),IF(AND(OR($T23="Перли",$T23="Графіт"),OR($F23=4,$F23=6,$F23=8,$F23=10,$F23=16,$F23=19)),$AG23*(Прайс!$F$17-500),IF(AND(OR($T23="Зор.н.ср.",$T23="Зор.н.зол.",$T23="Зор.н.різн."),OR($F23=4,$F23=6,$F23=8,$F23=10,$F23=16,$F23=19)),$AG23*(Прайс!$F$18-500),IF(AND(,$T23="2-х кол.х.",OR($F23=4,$F23=6,$F23=8,$F23=10,$F23=16,$F23=19)),$AG23*(Прайс!$F$19-500),IF(AND($T23="3-х кол.х.",OR($F23=4,$F23=6,$F23=8,$F23=10,$F23=16,$F23=19)),$AG23*(Прайс!$F$20-500),IF(AND($T23="Фотодрук",OR($F23=4,$F23=6,$F23=8,$F23=10,$F23=16,$F23=19)),$AG23*(Прайс!$F$21-500),0))))))))))))))</f>
        <v>0</v>
      </c>
      <c r="AA23" s="178">
        <f>IF(Бланк!AD41=0,0,Бланк!AD41*E23)</f>
        <v>0</v>
      </c>
      <c r="AB23" s="178">
        <f>Бланк!AE41</f>
        <v>0</v>
      </c>
      <c r="AC23" s="175">
        <f>IF(OR(AA$3=0,$AA23=""),0,$AA23*Прайс!$D$49)</f>
        <v>0</v>
      </c>
      <c r="AD23" s="178">
        <f>Бланк!AF41</f>
        <v>0</v>
      </c>
      <c r="AE23" s="178">
        <f>Бланк!AG41</f>
        <v>0</v>
      </c>
      <c r="AF23" s="178">
        <f>Бланк!AH41</f>
        <v>0</v>
      </c>
      <c r="AG23" s="123">
        <f>Бланк!$AI41</f>
        <v>0</v>
      </c>
      <c r="AH23" s="183"/>
      <c r="AI23" s="183"/>
      <c r="AJ23" s="183"/>
      <c r="AK23" s="183"/>
      <c r="AL23" s="184"/>
      <c r="AM23" s="184"/>
      <c r="AN23" s="184"/>
      <c r="AO23" s="184"/>
      <c r="AP23" s="185"/>
      <c r="AQ23" s="181"/>
    </row>
    <row r="24" spans="2:43" s="186" customFormat="1" ht="21" customHeight="1" x14ac:dyDescent="0.3">
      <c r="B24" s="182">
        <v>22</v>
      </c>
      <c r="C24" s="170" t="str">
        <f>IF(Бланк!$C42="","",Бланк!$C42/1000)</f>
        <v/>
      </c>
      <c r="D24" s="171" t="str">
        <f>IF(Бланк!$D42="","",Бланк!$D42/1000)</f>
        <v/>
      </c>
      <c r="E24" s="172" t="str">
        <f>IF(Бланк!E42="","",Бланк!E42)</f>
        <v/>
      </c>
      <c r="F24" s="172" t="str">
        <f>IF(Бланк!F42="","",Бланк!F42)</f>
        <v/>
      </c>
      <c r="G24" s="172" t="str">
        <f>IF(Бланк!H42="","",Бланк!H42)</f>
        <v/>
      </c>
      <c r="H24" s="172" t="str">
        <f>IF(Бланк!I42="","",Бланк!I42)</f>
        <v/>
      </c>
      <c r="I24" s="173" t="str">
        <f>IF(OR($C24="",$C24=0),"",IF($H24="Пряма з чвертю",(Прайс!$D$39+Прайс!$D$42)*Просчет!$E24,IF(Просчет!$H24="Пряма без чверті",Прайс!$D$39*Просчет!$E24,IF(AND(Просчет!$H24="Шпрос з чвертю",OR($C24&lt;1,$C24=1)),(Прайс!$D$40+Прайс!$D$43)*Просчет!$E24,IF(AND($H24="Шпрос з чвертю",$C24&gt;1),(Прайс!$F$40+Прайс!$D$43)*Просчет!$E24,IF(AND($H24="Шпрос без чверті",OR($C24&lt;1,$C24=1)),Прайс!$D$40*Просчет!$E24,IF(AND($H24="Шпрос без чверті",$C24&gt;1),Прайс!$F$40*Просчет!$E24,"")))))))</f>
        <v/>
      </c>
      <c r="J24" s="174" t="str">
        <f>IF(Бланк!$J42="","",Бланк!$J42/1000)</f>
        <v/>
      </c>
      <c r="K24" s="174">
        <f>Бланк!K42</f>
        <v>0</v>
      </c>
      <c r="L24" s="174">
        <f>Бланк!L42</f>
        <v>0</v>
      </c>
      <c r="M24" s="174">
        <f>Бланк!M42</f>
        <v>0</v>
      </c>
      <c r="N24" s="175">
        <f t="shared" si="0"/>
        <v>0</v>
      </c>
      <c r="O24" s="173">
        <f>IF($K24="","",IF(OR($K24="J № 1",$K24="J № 2",$K24="J № 2L",$K24="J № 2R",$K24="AJ № 2",$K24="AJ № 2L",$K24="AJ № 2R",$K24="U",$K24="V"),$N24*Прайс!$D$46,IF(OR($K24="AJ № 3R",$K24="AJ № 4R",$K24="AJ № 5R",$K24="AJ № 3L",$K24="AJ № 4L",$K24="AJ № 5L",$K24="AJ № 3",$K24="AJ № 4",$K24="AJ № 5",$K24="J № 3",$K24="J № 4",$K24="J № 5",$K24="J № 6",$K24="J № 7",$K24="L",$K24="AL"),Прайс!$D$47*$E24,IF(OR($K24="J № 3L",$K24="J № 3R",$K24="J № 4L",$K24="J № 4R",$K24="J № 5L",$K24="J № 5R"),$N24/2*Прайс!$D$47*$E24,IF($K24="45 град.",$N24*Прайс!$D$45,0)))))</f>
        <v>0</v>
      </c>
      <c r="P24" s="234">
        <f>IF($K24="",0,IF(OR($M24=$S24,$M24=0),0,$N24*Прайс!$D$62))</f>
        <v>0</v>
      </c>
      <c r="Q24" s="176">
        <f>Бланк!N42</f>
        <v>0</v>
      </c>
      <c r="R24" s="177">
        <f>Бланк!R42</f>
        <v>0</v>
      </c>
      <c r="S24" s="177">
        <f>Бланк!S42</f>
        <v>0</v>
      </c>
      <c r="T24" s="177" t="str">
        <f>IF(Бланк!T42="","",Бланк!T42)</f>
        <v/>
      </c>
      <c r="U24" s="177">
        <f>Бланк!U42</f>
        <v>0</v>
      </c>
      <c r="V24" s="177">
        <f>Бланк!AB42</f>
        <v>0</v>
      </c>
      <c r="W24" s="177">
        <f>Бланк!AC42</f>
        <v>0</v>
      </c>
      <c r="X24" s="175">
        <f>IF(OR($C24=0,$C24=""),0,IF(AND(OR($T24="",$T24=0),$V24="Матове",OR($F24=4,$F24=6,$F24=8,$F24=10,$F24=16)),$AG24*Прайс!$F$10,IF(AND(OR($T24="",$T24=0),$V24="Матове+акрил",OR($F24=4,$F24=6,$F24=8,$F24=10,$F24=16)),$AG24*Прайс!#REF!,IF(AND(OR($T24="",$T24=0),$V24="Софт(TS)",OR($F24=4,$F24=6,$F24=8,$F24=10,$F24=16)),$AG24*Прайс!$F$11,IF(AND(OR($T24="",$T24=0),$V24="Глянець",OR($F24=4,$F24=6,$F24=8,$F24=10,$F24=16)),$AG24*Прайс!$F$12,IF(AND(OR($T24="Перл.ср.",$T24="Перл.зол."),OR($F24=4,$F24=6,$F24=8,$F24=10,$F24=16)),$AG24*Прайс!$F$13,IF(AND($T24="Гума",OR($F24=4,$F24=6,$F24=8,$F24=10,$F24=16)),$AG24*Прайс!$F$14,IF(AND($T24="Металік",OR($F24=4,$F24=6,$F24=8,$F24=10,$F24=16)),$AG24*Прайс!$F$15,IF(AND($T24="Рідке скло",OR($F24=4,$F24=6,$F24=8,$F24=10,$F24=16)),$AG24*Прайс!$F$16,IF(AND(OR($T24="Перли",$T24="Графіт"),OR($F24=4,$F24=6,$F24=8,$F24=10,$F24=16)),$AG24*Прайс!$F$17,IF(AND(OR($T24="Зор.н.ср.",$T24="Зор.н.зол.",$T24="Зор.н.різн."),OR($F24=4,$F24=6,$F24=8,$F24=10,$F24=16)),$AG24*Прайс!$F$18,IF(AND(,$T24="2-х кол.х.",OR($F24=4,$F24=6,$F24=8,$F24=10,$F24=16)),$AG24*Прайс!$F$19,IF(AND($T24="3-х кол.х.",OR($F24=4,$F24=6,$F24=8,$F24=10,$F24=16)),$AG24*Прайс!$F$20,IF(AND($T24="Фотодрук",OR($F24=4,$F24=6,$F24=8,$F24=10,$F24=16)),$AG24*Прайс!$F$21,0))))))))))))))</f>
        <v>0</v>
      </c>
      <c r="Y24" s="175">
        <f>IF(OR($C24=0,$C24=""),0,IF(AND(OR($T24="",$T24=0),$V24="Матове",$F24=19),$AG24*Прайс!$G$10,IF(AND(OR($T24="",$T24=0),$V24="Матове+акрил",$F24=19),$AG24*Прайс!#REF!,IF(AND(OR($T24="",$T24=0),$V24="Софт(TS)",$F24=19),$AG24*Прайс!$G$11,IF(AND(OR($T24="",$T24=0),$V24="Глянець",$F24=19),$AG24*Прайс!$G$12,IF(AND(OR($T24="Перл.ср.",$T24="Перл.зол."),$F24=19),$AG24*Прайс!$G$13,IF(AND($T24="Гума",$F24=19),$AG24*Прайс!$G$14,IF(AND($T24="Металік",$F24=19),$AG24*Прайс!$G$15,IF(AND($T24="Рідке скло",$F24=19),$AG24*Прайс!$G$16,IF(AND(OR($T24="Перли",$T24="Графіт"),$F24=19),$AG24*Прайс!$G$17,IF(AND(OR($T24="Зор.н.ср.",$T24="Зор.н.зол.",$T24="Зор.н.різн."),$F24=19),$AG24*Прайс!$G$18,IF(AND($T24="2-х кол.х.",$F24=19),$AG24*Прайс!$G$19,IF(AND($T24="3-х кол.х.",$F24=19),$AG24*Прайс!$G$20,IF(AND($T24="Фотодрук",$F24=19),$AG24*Прайс!$G$21,0))))))))))))))</f>
        <v>0</v>
      </c>
      <c r="Z24" s="175">
        <f>IF(OR($C24=0,$C24=""),0,IF(AND(OR($T24="",$T24=0),$W24="Матове",OR($F24=4,$F24=6,$F24=8,$F24=10,$F24=16,$F24=19)),$AG24*(Прайс!$F$10-500),IF(AND(OR($T24="",$T24=0),$W24="Матове+акрил",OR($F24=4,$F24=6,$F24=8,$F24=10,$F24=16,$F24=19)),$AG24*(Прайс!#REF!-500),IF(AND(OR($T24="",$T24=0),$W24="Софт(TS)",OR($F24=4,$F24=6,$F24=8,$F24=10,$F24=16,$F24=19)),$AG24*(Прайс!$F$11-500),IF(AND(OR($T24="",$T24=0),$W24="Глянець",OR($F24=4,$F24=6,$F24=8,$F24=10,$F24=16,$F24=19)),$AG24*(Прайс!$F$12-500),IF(AND(OR($T24="Перл.ср.",$T24="Перл.зол."),OR($F24=4,$F24=6,$F24=8,$F24=10,$F24=16,$F24=19)),$AG24*(Прайс!$F$13-500),IF(AND($T24="Гума",OR($F24=4,$F24=6,$F24=8,$F24=10,$F24=16,$F24=19)),$AG24*(Прайс!$F$14-500),IF(AND($T24="Металік",OR($F24=4,$F24=6,$F24=8,$F24=10,$F24=16,$F24=19)),$AG24*(Прайс!$F$15-500),IF(AND($T24="Рідке скло",OR($F24=4,$F24=6,$F24=8,$F24=10,$F24=16,$F24=19)),$AG24*(Прайс!$F$16-500),IF(AND(OR($T24="Перли",$T24="Графіт"),OR($F24=4,$F24=6,$F24=8,$F24=10,$F24=16,$F24=19)),$AG24*(Прайс!$F$17-500),IF(AND(OR($T24="Зор.н.ср.",$T24="Зор.н.зол.",$T24="Зор.н.різн."),OR($F24=4,$F24=6,$F24=8,$F24=10,$F24=16,$F24=19)),$AG24*(Прайс!$F$18-500),IF(AND(,$T24="2-х кол.х.",OR($F24=4,$F24=6,$F24=8,$F24=10,$F24=16,$F24=19)),$AG24*(Прайс!$F$19-500),IF(AND($T24="3-х кол.х.",OR($F24=4,$F24=6,$F24=8,$F24=10,$F24=16,$F24=19)),$AG24*(Прайс!$F$20-500),IF(AND($T24="Фотодрук",OR($F24=4,$F24=6,$F24=8,$F24=10,$F24=16,$F24=19)),$AG24*(Прайс!$F$21-500),0))))))))))))))</f>
        <v>0</v>
      </c>
      <c r="AA24" s="178">
        <f>IF(Бланк!AD42=0,0,Бланк!AD42*E24)</f>
        <v>0</v>
      </c>
      <c r="AB24" s="178">
        <f>Бланк!AE42</f>
        <v>0</v>
      </c>
      <c r="AC24" s="175">
        <f>IF(OR(AA$3=0,$AA24=""),0,$AA24*Прайс!$D$49)</f>
        <v>0</v>
      </c>
      <c r="AD24" s="178">
        <f>Бланк!AF42</f>
        <v>0</v>
      </c>
      <c r="AE24" s="178">
        <f>Бланк!AG42</f>
        <v>0</v>
      </c>
      <c r="AF24" s="178">
        <f>Бланк!AH42</f>
        <v>0</v>
      </c>
      <c r="AG24" s="123">
        <f>Бланк!$AI42</f>
        <v>0</v>
      </c>
      <c r="AH24" s="183"/>
      <c r="AI24" s="183"/>
      <c r="AJ24" s="183"/>
      <c r="AK24" s="183"/>
      <c r="AL24" s="184"/>
      <c r="AM24" s="184"/>
      <c r="AN24" s="184"/>
      <c r="AO24" s="184"/>
      <c r="AP24" s="185"/>
      <c r="AQ24" s="181"/>
    </row>
    <row r="25" spans="2:43" s="186" customFormat="1" ht="21" customHeight="1" x14ac:dyDescent="0.3">
      <c r="B25" s="182">
        <v>23</v>
      </c>
      <c r="C25" s="170" t="str">
        <f>IF(Бланк!$C43="","",Бланк!$C43/1000)</f>
        <v/>
      </c>
      <c r="D25" s="171" t="str">
        <f>IF(Бланк!$D43="","",Бланк!$D43/1000)</f>
        <v/>
      </c>
      <c r="E25" s="172" t="str">
        <f>IF(Бланк!E43="","",Бланк!E43)</f>
        <v/>
      </c>
      <c r="F25" s="172" t="str">
        <f>IF(Бланк!F43="","",Бланк!F43)</f>
        <v/>
      </c>
      <c r="G25" s="172" t="str">
        <f>IF(Бланк!H43="","",Бланк!H43)</f>
        <v/>
      </c>
      <c r="H25" s="172" t="str">
        <f>IF(Бланк!I43="","",Бланк!I43)</f>
        <v/>
      </c>
      <c r="I25" s="173" t="str">
        <f>IF(OR($C25="",$C25=0),"",IF($H25="Пряма з чвертю",(Прайс!$D$39+Прайс!$D$42)*Просчет!$E25,IF(Просчет!$H25="Пряма без чверті",Прайс!$D$39*Просчет!$E25,IF(AND(Просчет!$H25="Шпрос з чвертю",OR($C25&lt;1,$C25=1)),(Прайс!$D$40+Прайс!$D$43)*Просчет!$E25,IF(AND($H25="Шпрос з чвертю",$C25&gt;1),(Прайс!$F$40+Прайс!$D$43)*Просчет!$E25,IF(AND($H25="Шпрос без чверті",OR($C25&lt;1,$C25=1)),Прайс!$D$40*Просчет!$E25,IF(AND($H25="Шпрос без чверті",$C25&gt;1),Прайс!$F$40*Просчет!$E25,"")))))))</f>
        <v/>
      </c>
      <c r="J25" s="174" t="str">
        <f>IF(Бланк!$J43="","",Бланк!$J43/1000)</f>
        <v/>
      </c>
      <c r="K25" s="174">
        <f>Бланк!K43</f>
        <v>0</v>
      </c>
      <c r="L25" s="174">
        <f>Бланк!L43</f>
        <v>0</v>
      </c>
      <c r="M25" s="174">
        <f>Бланк!M43</f>
        <v>0</v>
      </c>
      <c r="N25" s="175">
        <f t="shared" si="0"/>
        <v>0</v>
      </c>
      <c r="O25" s="173">
        <f>IF($K25="","",IF(OR($K25="J № 1",$K25="J № 2",$K25="J № 2L",$K25="J № 2R",$K25="AJ № 2",$K25="AJ № 2L",$K25="AJ № 2R",$K25="U",$K25="V"),$N25*Прайс!$D$46,IF(OR($K25="AJ № 3R",$K25="AJ № 4R",$K25="AJ № 5R",$K25="AJ № 3L",$K25="AJ № 4L",$K25="AJ № 5L",$K25="AJ № 3",$K25="AJ № 4",$K25="AJ № 5",$K25="J № 3",$K25="J № 4",$K25="J № 5",$K25="J № 6",$K25="J № 7",$K25="L",$K25="AL"),Прайс!$D$47*$E25,IF(OR($K25="J № 3L",$K25="J № 3R",$K25="J № 4L",$K25="J № 4R",$K25="J № 5L",$K25="J № 5R"),$N25/2*Прайс!$D$47*$E25,IF($K25="45 град.",$N25*Прайс!$D$45,0)))))</f>
        <v>0</v>
      </c>
      <c r="P25" s="234">
        <f>IF($K25="",0,IF(OR($M25=$S25,$M25=0),0,$N25*Прайс!$D$62))</f>
        <v>0</v>
      </c>
      <c r="Q25" s="176">
        <f>Бланк!N43</f>
        <v>0</v>
      </c>
      <c r="R25" s="177">
        <f>Бланк!R43</f>
        <v>0</v>
      </c>
      <c r="S25" s="177">
        <f>Бланк!S43</f>
        <v>0</v>
      </c>
      <c r="T25" s="177" t="str">
        <f>IF(Бланк!T43="","",Бланк!T43)</f>
        <v/>
      </c>
      <c r="U25" s="177">
        <f>Бланк!U43</f>
        <v>0</v>
      </c>
      <c r="V25" s="177">
        <f>Бланк!AB43</f>
        <v>0</v>
      </c>
      <c r="W25" s="177">
        <f>Бланк!AC43</f>
        <v>0</v>
      </c>
      <c r="X25" s="175">
        <f>IF(OR($C25=0,$C25=""),0,IF(AND(OR($T25="",$T25=0),$V25="Матове",OR($F25=4,$F25=6,$F25=8,$F25=10,$F25=16)),$AG25*Прайс!$F$10,IF(AND(OR($T25="",$T25=0),$V25="Матове+акрил",OR($F25=4,$F25=6,$F25=8,$F25=10,$F25=16)),$AG25*Прайс!#REF!,IF(AND(OR($T25="",$T25=0),$V25="Софт(TS)",OR($F25=4,$F25=6,$F25=8,$F25=10,$F25=16)),$AG25*Прайс!$F$11,IF(AND(OR($T25="",$T25=0),$V25="Глянець",OR($F25=4,$F25=6,$F25=8,$F25=10,$F25=16)),$AG25*Прайс!$F$12,IF(AND(OR($T25="Перл.ср.",$T25="Перл.зол."),OR($F25=4,$F25=6,$F25=8,$F25=10,$F25=16)),$AG25*Прайс!$F$13,IF(AND($T25="Гума",OR($F25=4,$F25=6,$F25=8,$F25=10,$F25=16)),$AG25*Прайс!$F$14,IF(AND($T25="Металік",OR($F25=4,$F25=6,$F25=8,$F25=10,$F25=16)),$AG25*Прайс!$F$15,IF(AND($T25="Рідке скло",OR($F25=4,$F25=6,$F25=8,$F25=10,$F25=16)),$AG25*Прайс!$F$16,IF(AND(OR($T25="Перли",$T25="Графіт"),OR($F25=4,$F25=6,$F25=8,$F25=10,$F25=16)),$AG25*Прайс!$F$17,IF(AND(OR($T25="Зор.н.ср.",$T25="Зор.н.зол.",$T25="Зор.н.різн."),OR($F25=4,$F25=6,$F25=8,$F25=10,$F25=16)),$AG25*Прайс!$F$18,IF(AND(,$T25="2-х кол.х.",OR($F25=4,$F25=6,$F25=8,$F25=10,$F25=16)),$AG25*Прайс!$F$19,IF(AND($T25="3-х кол.х.",OR($F25=4,$F25=6,$F25=8,$F25=10,$F25=16)),$AG25*Прайс!$F$20,IF(AND($T25="Фотодрук",OR($F25=4,$F25=6,$F25=8,$F25=10,$F25=16)),$AG25*Прайс!$F$21,0))))))))))))))</f>
        <v>0</v>
      </c>
      <c r="Y25" s="175">
        <f>IF(OR($C25=0,$C25=""),0,IF(AND(OR($T25="",$T25=0),$V25="Матове",$F25=19),$AG25*Прайс!$G$10,IF(AND(OR($T25="",$T25=0),$V25="Матове+акрил",$F25=19),$AG25*Прайс!#REF!,IF(AND(OR($T25="",$T25=0),$V25="Софт(TS)",$F25=19),$AG25*Прайс!$G$11,IF(AND(OR($T25="",$T25=0),$V25="Глянець",$F25=19),$AG25*Прайс!$G$12,IF(AND(OR($T25="Перл.ср.",$T25="Перл.зол."),$F25=19),$AG25*Прайс!$G$13,IF(AND($T25="Гума",$F25=19),$AG25*Прайс!$G$14,IF(AND($T25="Металік",$F25=19),$AG25*Прайс!$G$15,IF(AND($T25="Рідке скло",$F25=19),$AG25*Прайс!$G$16,IF(AND(OR($T25="Перли",$T25="Графіт"),$F25=19),$AG25*Прайс!$G$17,IF(AND(OR($T25="Зор.н.ср.",$T25="Зор.н.зол.",$T25="Зор.н.різн."),$F25=19),$AG25*Прайс!$G$18,IF(AND($T25="2-х кол.х.",$F25=19),$AG25*Прайс!$G$19,IF(AND($T25="3-х кол.х.",$F25=19),$AG25*Прайс!$G$20,IF(AND($T25="Фотодрук",$F25=19),$AG25*Прайс!$G$21,0))))))))))))))</f>
        <v>0</v>
      </c>
      <c r="Z25" s="175">
        <f>IF(OR($C25=0,$C25=""),0,IF(AND(OR($T25="",$T25=0),$W25="Матове",OR($F25=4,$F25=6,$F25=8,$F25=10,$F25=16,$F25=19)),$AG25*(Прайс!$F$10-500),IF(AND(OR($T25="",$T25=0),$W25="Матове+акрил",OR($F25=4,$F25=6,$F25=8,$F25=10,$F25=16,$F25=19)),$AG25*(Прайс!#REF!-500),IF(AND(OR($T25="",$T25=0),$W25="Софт(TS)",OR($F25=4,$F25=6,$F25=8,$F25=10,$F25=16,$F25=19)),$AG25*(Прайс!$F$11-500),IF(AND(OR($T25="",$T25=0),$W25="Глянець",OR($F25=4,$F25=6,$F25=8,$F25=10,$F25=16,$F25=19)),$AG25*(Прайс!$F$12-500),IF(AND(OR($T25="Перл.ср.",$T25="Перл.зол."),OR($F25=4,$F25=6,$F25=8,$F25=10,$F25=16,$F25=19)),$AG25*(Прайс!$F$13-500),IF(AND($T25="Гума",OR($F25=4,$F25=6,$F25=8,$F25=10,$F25=16,$F25=19)),$AG25*(Прайс!$F$14-500),IF(AND($T25="Металік",OR($F25=4,$F25=6,$F25=8,$F25=10,$F25=16,$F25=19)),$AG25*(Прайс!$F$15-500),IF(AND($T25="Рідке скло",OR($F25=4,$F25=6,$F25=8,$F25=10,$F25=16,$F25=19)),$AG25*(Прайс!$F$16-500),IF(AND(OR($T25="Перли",$T25="Графіт"),OR($F25=4,$F25=6,$F25=8,$F25=10,$F25=16,$F25=19)),$AG25*(Прайс!$F$17-500),IF(AND(OR($T25="Зор.н.ср.",$T25="Зор.н.зол.",$T25="Зор.н.різн."),OR($F25=4,$F25=6,$F25=8,$F25=10,$F25=16,$F25=19)),$AG25*(Прайс!$F$18-500),IF(AND(,$T25="2-х кол.х.",OR($F25=4,$F25=6,$F25=8,$F25=10,$F25=16,$F25=19)),$AG25*(Прайс!$F$19-500),IF(AND($T25="3-х кол.х.",OR($F25=4,$F25=6,$F25=8,$F25=10,$F25=16,$F25=19)),$AG25*(Прайс!$F$20-500),IF(AND($T25="Фотодрук",OR($F25=4,$F25=6,$F25=8,$F25=10,$F25=16,$F25=19)),$AG25*(Прайс!$F$21-500),0))))))))))))))</f>
        <v>0</v>
      </c>
      <c r="AA25" s="178">
        <f>IF(Бланк!AD43=0,0,Бланк!AD43*E25)</f>
        <v>0</v>
      </c>
      <c r="AB25" s="178">
        <f>Бланк!AE43</f>
        <v>0</v>
      </c>
      <c r="AC25" s="175">
        <f>IF(OR(AA$3=0,$AA25=""),0,$AA25*Прайс!$D$49)</f>
        <v>0</v>
      </c>
      <c r="AD25" s="178">
        <f>Бланк!AF43</f>
        <v>0</v>
      </c>
      <c r="AE25" s="178">
        <f>Бланк!AG43</f>
        <v>0</v>
      </c>
      <c r="AF25" s="178">
        <f>Бланк!AH43</f>
        <v>0</v>
      </c>
      <c r="AG25" s="123">
        <f>Бланк!$AI43</f>
        <v>0</v>
      </c>
      <c r="AH25" s="183"/>
      <c r="AI25" s="183"/>
      <c r="AJ25" s="183"/>
      <c r="AK25" s="183"/>
      <c r="AL25" s="184"/>
      <c r="AM25" s="184"/>
      <c r="AN25" s="184"/>
      <c r="AO25" s="184"/>
      <c r="AP25" s="185"/>
      <c r="AQ25" s="181"/>
    </row>
    <row r="26" spans="2:43" s="186" customFormat="1" ht="21" customHeight="1" x14ac:dyDescent="0.3">
      <c r="B26" s="182">
        <v>24</v>
      </c>
      <c r="C26" s="170" t="str">
        <f>IF(Бланк!$C44="","",Бланк!$C44/1000)</f>
        <v/>
      </c>
      <c r="D26" s="171" t="str">
        <f>IF(Бланк!$D44="","",Бланк!$D44/1000)</f>
        <v/>
      </c>
      <c r="E26" s="172" t="str">
        <f>IF(Бланк!E44="","",Бланк!E44)</f>
        <v/>
      </c>
      <c r="F26" s="172" t="str">
        <f>IF(Бланк!F44="","",Бланк!F44)</f>
        <v/>
      </c>
      <c r="G26" s="172" t="str">
        <f>IF(Бланк!H44="","",Бланк!H44)</f>
        <v/>
      </c>
      <c r="H26" s="172" t="str">
        <f>IF(Бланк!I44="","",Бланк!I44)</f>
        <v/>
      </c>
      <c r="I26" s="173" t="str">
        <f>IF(OR($C26="",$C26=0),"",IF($H26="Пряма з чвертю",(Прайс!$D$39+Прайс!$D$42)*Просчет!$E26,IF(Просчет!$H26="Пряма без чверті",Прайс!$D$39*Просчет!$E26,IF(AND(Просчет!$H26="Шпрос з чвертю",OR($C26&lt;1,$C26=1)),(Прайс!$D$40+Прайс!$D$43)*Просчет!$E26,IF(AND($H26="Шпрос з чвертю",$C26&gt;1),(Прайс!$F$40+Прайс!$D$43)*Просчет!$E26,IF(AND($H26="Шпрос без чверті",OR($C26&lt;1,$C26=1)),Прайс!$D$40*Просчет!$E26,IF(AND($H26="Шпрос без чверті",$C26&gt;1),Прайс!$F$40*Просчет!$E26,"")))))))</f>
        <v/>
      </c>
      <c r="J26" s="174" t="str">
        <f>IF(Бланк!$J44="","",Бланк!$J44/1000)</f>
        <v/>
      </c>
      <c r="K26" s="174">
        <f>Бланк!K44</f>
        <v>0</v>
      </c>
      <c r="L26" s="174">
        <f>Бланк!L44</f>
        <v>0</v>
      </c>
      <c r="M26" s="174">
        <f>Бланк!M44</f>
        <v>0</v>
      </c>
      <c r="N26" s="175">
        <f t="shared" si="0"/>
        <v>0</v>
      </c>
      <c r="O26" s="173">
        <f>IF($K26="","",IF(OR($K26="J № 1",$K26="J № 2",$K26="J № 2L",$K26="J № 2R",$K26="AJ № 2",$K26="AJ № 2L",$K26="AJ № 2R",$K26="U",$K26="V"),$N26*Прайс!$D$46,IF(OR($K26="AJ № 3R",$K26="AJ № 4R",$K26="AJ № 5R",$K26="AJ № 3L",$K26="AJ № 4L",$K26="AJ № 5L",$K26="AJ № 3",$K26="AJ № 4",$K26="AJ № 5",$K26="J № 3",$K26="J № 4",$K26="J № 5",$K26="J № 6",$K26="J № 7",$K26="L",$K26="AL"),Прайс!$D$47*$E26,IF(OR($K26="J № 3L",$K26="J № 3R",$K26="J № 4L",$K26="J № 4R",$K26="J № 5L",$K26="J № 5R"),$N26/2*Прайс!$D$47*$E26,IF($K26="45 град.",$N26*Прайс!$D$45,0)))))</f>
        <v>0</v>
      </c>
      <c r="P26" s="234">
        <f>IF($K26="",0,IF(OR($M26=$S26,$M26=0),0,$N26*Прайс!$D$62))</f>
        <v>0</v>
      </c>
      <c r="Q26" s="176">
        <f>Бланк!N44</f>
        <v>0</v>
      </c>
      <c r="R26" s="177">
        <f>Бланк!R44</f>
        <v>0</v>
      </c>
      <c r="S26" s="177">
        <f>Бланк!S44</f>
        <v>0</v>
      </c>
      <c r="T26" s="177" t="str">
        <f>IF(Бланк!T44="","",Бланк!T44)</f>
        <v/>
      </c>
      <c r="U26" s="177">
        <f>Бланк!U44</f>
        <v>0</v>
      </c>
      <c r="V26" s="177">
        <f>Бланк!AB44</f>
        <v>0</v>
      </c>
      <c r="W26" s="177">
        <f>Бланк!AC44</f>
        <v>0</v>
      </c>
      <c r="X26" s="175">
        <f>IF(OR($C26=0,$C26=""),0,IF(AND(OR($T26="",$T26=0),$V26="Матове",OR($F26=4,$F26=6,$F26=8,$F26=10,$F26=16)),$AG26*Прайс!$F$10,IF(AND(OR($T26="",$T26=0),$V26="Матове+акрил",OR($F26=4,$F26=6,$F26=8,$F26=10,$F26=16)),$AG26*Прайс!#REF!,IF(AND(OR($T26="",$T26=0),$V26="Софт(TS)",OR($F26=4,$F26=6,$F26=8,$F26=10,$F26=16)),$AG26*Прайс!$F$11,IF(AND(OR($T26="",$T26=0),$V26="Глянець",OR($F26=4,$F26=6,$F26=8,$F26=10,$F26=16)),$AG26*Прайс!$F$12,IF(AND(OR($T26="Перл.ср.",$T26="Перл.зол."),OR($F26=4,$F26=6,$F26=8,$F26=10,$F26=16)),$AG26*Прайс!$F$13,IF(AND($T26="Гума",OR($F26=4,$F26=6,$F26=8,$F26=10,$F26=16)),$AG26*Прайс!$F$14,IF(AND($T26="Металік",OR($F26=4,$F26=6,$F26=8,$F26=10,$F26=16)),$AG26*Прайс!$F$15,IF(AND($T26="Рідке скло",OR($F26=4,$F26=6,$F26=8,$F26=10,$F26=16)),$AG26*Прайс!$F$16,IF(AND(OR($T26="Перли",$T26="Графіт"),OR($F26=4,$F26=6,$F26=8,$F26=10,$F26=16)),$AG26*Прайс!$F$17,IF(AND(OR($T26="Зор.н.ср.",$T26="Зор.н.зол.",$T26="Зор.н.різн."),OR($F26=4,$F26=6,$F26=8,$F26=10,$F26=16)),$AG26*Прайс!$F$18,IF(AND(,$T26="2-х кол.х.",OR($F26=4,$F26=6,$F26=8,$F26=10,$F26=16)),$AG26*Прайс!$F$19,IF(AND($T26="3-х кол.х.",OR($F26=4,$F26=6,$F26=8,$F26=10,$F26=16)),$AG26*Прайс!$F$20,IF(AND($T26="Фотодрук",OR($F26=4,$F26=6,$F26=8,$F26=10,$F26=16)),$AG26*Прайс!$F$21,0))))))))))))))</f>
        <v>0</v>
      </c>
      <c r="Y26" s="175">
        <f>IF(OR($C26=0,$C26=""),0,IF(AND(OR($T26="",$T26=0),$V26="Матове",$F26=19),$AG26*Прайс!$G$10,IF(AND(OR($T26="",$T26=0),$V26="Матове+акрил",$F26=19),$AG26*Прайс!#REF!,IF(AND(OR($T26="",$T26=0),$V26="Софт(TS)",$F26=19),$AG26*Прайс!$G$11,IF(AND(OR($T26="",$T26=0),$V26="Глянець",$F26=19),$AG26*Прайс!$G$12,IF(AND(OR($T26="Перл.ср.",$T26="Перл.зол."),$F26=19),$AG26*Прайс!$G$13,IF(AND($T26="Гума",$F26=19),$AG26*Прайс!$G$14,IF(AND($T26="Металік",$F26=19),$AG26*Прайс!$G$15,IF(AND($T26="Рідке скло",$F26=19),$AG26*Прайс!$G$16,IF(AND(OR($T26="Перли",$T26="Графіт"),$F26=19),$AG26*Прайс!$G$17,IF(AND(OR($T26="Зор.н.ср.",$T26="Зор.н.зол.",$T26="Зор.н.різн."),$F26=19),$AG26*Прайс!$G$18,IF(AND($T26="2-х кол.х.",$F26=19),$AG26*Прайс!$G$19,IF(AND($T26="3-х кол.х.",$F26=19),$AG26*Прайс!$G$20,IF(AND($T26="Фотодрук",$F26=19),$AG26*Прайс!$G$21,0))))))))))))))</f>
        <v>0</v>
      </c>
      <c r="Z26" s="175">
        <f>IF(OR($C26=0,$C26=""),0,IF(AND(OR($T26="",$T26=0),$W26="Матове",OR($F26=4,$F26=6,$F26=8,$F26=10,$F26=16,$F26=19)),$AG26*(Прайс!$F$10-500),IF(AND(OR($T26="",$T26=0),$W26="Матове+акрил",OR($F26=4,$F26=6,$F26=8,$F26=10,$F26=16,$F26=19)),$AG26*(Прайс!#REF!-500),IF(AND(OR($T26="",$T26=0),$W26="Софт(TS)",OR($F26=4,$F26=6,$F26=8,$F26=10,$F26=16,$F26=19)),$AG26*(Прайс!$F$11-500),IF(AND(OR($T26="",$T26=0),$W26="Глянець",OR($F26=4,$F26=6,$F26=8,$F26=10,$F26=16,$F26=19)),$AG26*(Прайс!$F$12-500),IF(AND(OR($T26="Перл.ср.",$T26="Перл.зол."),OR($F26=4,$F26=6,$F26=8,$F26=10,$F26=16,$F26=19)),$AG26*(Прайс!$F$13-500),IF(AND($T26="Гума",OR($F26=4,$F26=6,$F26=8,$F26=10,$F26=16,$F26=19)),$AG26*(Прайс!$F$14-500),IF(AND($T26="Металік",OR($F26=4,$F26=6,$F26=8,$F26=10,$F26=16,$F26=19)),$AG26*(Прайс!$F$15-500),IF(AND($T26="Рідке скло",OR($F26=4,$F26=6,$F26=8,$F26=10,$F26=16,$F26=19)),$AG26*(Прайс!$F$16-500),IF(AND(OR($T26="Перли",$T26="Графіт"),OR($F26=4,$F26=6,$F26=8,$F26=10,$F26=16,$F26=19)),$AG26*(Прайс!$F$17-500),IF(AND(OR($T26="Зор.н.ср.",$T26="Зор.н.зол.",$T26="Зор.н.різн."),OR($F26=4,$F26=6,$F26=8,$F26=10,$F26=16,$F26=19)),$AG26*(Прайс!$F$18-500),IF(AND(,$T26="2-х кол.х.",OR($F26=4,$F26=6,$F26=8,$F26=10,$F26=16,$F26=19)),$AG26*(Прайс!$F$19-500),IF(AND($T26="3-х кол.х.",OR($F26=4,$F26=6,$F26=8,$F26=10,$F26=16,$F26=19)),$AG26*(Прайс!$F$20-500),IF(AND($T26="Фотодрук",OR($F26=4,$F26=6,$F26=8,$F26=10,$F26=16,$F26=19)),$AG26*(Прайс!$F$21-500),0))))))))))))))</f>
        <v>0</v>
      </c>
      <c r="AA26" s="178">
        <f>IF(Бланк!AD44=0,0,Бланк!AD44*E26)</f>
        <v>0</v>
      </c>
      <c r="AB26" s="178">
        <f>Бланк!AE44</f>
        <v>0</v>
      </c>
      <c r="AC26" s="175">
        <f>IF(OR(AA$3=0,$AA26=""),0,$AA26*Прайс!$D$49)</f>
        <v>0</v>
      </c>
      <c r="AD26" s="178">
        <f>Бланк!AF44</f>
        <v>0</v>
      </c>
      <c r="AE26" s="178">
        <f>Бланк!AG44</f>
        <v>0</v>
      </c>
      <c r="AF26" s="178">
        <f>Бланк!AH44</f>
        <v>0</v>
      </c>
      <c r="AG26" s="123">
        <f>Бланк!$AI44</f>
        <v>0</v>
      </c>
      <c r="AH26" s="183"/>
      <c r="AI26" s="183"/>
      <c r="AJ26" s="183"/>
      <c r="AK26" s="183"/>
      <c r="AL26" s="184"/>
      <c r="AM26" s="184"/>
      <c r="AN26" s="184"/>
      <c r="AO26" s="184"/>
      <c r="AP26" s="185"/>
      <c r="AQ26" s="181"/>
    </row>
    <row r="27" spans="2:43" s="186" customFormat="1" ht="21" customHeight="1" x14ac:dyDescent="0.3">
      <c r="B27" s="182">
        <v>25</v>
      </c>
      <c r="C27" s="170" t="str">
        <f>IF(Бланк!$C45="","",Бланк!$C45/1000)</f>
        <v/>
      </c>
      <c r="D27" s="171" t="str">
        <f>IF(Бланк!$D45="","",Бланк!$D45/1000)</f>
        <v/>
      </c>
      <c r="E27" s="172" t="str">
        <f>IF(Бланк!E45="","",Бланк!E45)</f>
        <v/>
      </c>
      <c r="F27" s="172" t="str">
        <f>IF(Бланк!F45="","",Бланк!F45)</f>
        <v/>
      </c>
      <c r="G27" s="172" t="str">
        <f>IF(Бланк!H45="","",Бланк!H45)</f>
        <v/>
      </c>
      <c r="H27" s="172" t="str">
        <f>IF(Бланк!I45="","",Бланк!I45)</f>
        <v/>
      </c>
      <c r="I27" s="173" t="str">
        <f>IF(OR($C27="",$C27=0),"",IF($H27="Пряма з чвертю",(Прайс!$D$39+Прайс!$D$42)*Просчет!$E27,IF(Просчет!$H27="Пряма без чверті",Прайс!$D$39*Просчет!$E27,IF(AND(Просчет!$H27="Шпрос з чвертю",OR($C27&lt;1,$C27=1)),(Прайс!$D$40+Прайс!$D$43)*Просчет!$E27,IF(AND($H27="Шпрос з чвертю",$C27&gt;1),(Прайс!$F$40+Прайс!$D$43)*Просчет!$E27,IF(AND($H27="Шпрос без чверті",OR($C27&lt;1,$C27=1)),Прайс!$D$40*Просчет!$E27,IF(AND($H27="Шпрос без чверті",$C27&gt;1),Прайс!$F$40*Просчет!$E27,"")))))))</f>
        <v/>
      </c>
      <c r="J27" s="174" t="str">
        <f>IF(Бланк!$J45="","",Бланк!$J45/1000)</f>
        <v/>
      </c>
      <c r="K27" s="174">
        <f>Бланк!K45</f>
        <v>0</v>
      </c>
      <c r="L27" s="174">
        <f>Бланк!L45</f>
        <v>0</v>
      </c>
      <c r="M27" s="174">
        <f>Бланк!M45</f>
        <v>0</v>
      </c>
      <c r="N27" s="175">
        <f t="shared" si="0"/>
        <v>0</v>
      </c>
      <c r="O27" s="173">
        <f>IF($K27="","",IF(OR($K27="J № 1",$K27="J № 2",$K27="J № 2L",$K27="J № 2R",$K27="AJ № 2",$K27="AJ № 2L",$K27="AJ № 2R",$K27="U",$K27="V"),$N27*Прайс!$D$46,IF(OR($K27="AJ № 3R",$K27="AJ № 4R",$K27="AJ № 5R",$K27="AJ № 3L",$K27="AJ № 4L",$K27="AJ № 5L",$K27="AJ № 3",$K27="AJ № 4",$K27="AJ № 5",$K27="J № 3",$K27="J № 4",$K27="J № 5",$K27="J № 6",$K27="J № 7",$K27="L",$K27="AL"),Прайс!$D$47*$E27,IF(OR($K27="J № 3L",$K27="J № 3R",$K27="J № 4L",$K27="J № 4R",$K27="J № 5L",$K27="J № 5R"),$N27/2*Прайс!$D$47*$E27,IF($K27="45 град.",$N27*Прайс!$D$45,0)))))</f>
        <v>0</v>
      </c>
      <c r="P27" s="234">
        <f>IF($K27="",0,IF(OR($M27=$S27,$M27=0),0,$N27*Прайс!$D$62))</f>
        <v>0</v>
      </c>
      <c r="Q27" s="176">
        <f>Бланк!N45</f>
        <v>0</v>
      </c>
      <c r="R27" s="177">
        <f>Бланк!R45</f>
        <v>0</v>
      </c>
      <c r="S27" s="177">
        <f>Бланк!S45</f>
        <v>0</v>
      </c>
      <c r="T27" s="177" t="str">
        <f>IF(Бланк!T45="","",Бланк!T45)</f>
        <v/>
      </c>
      <c r="U27" s="177">
        <f>Бланк!U45</f>
        <v>0</v>
      </c>
      <c r="V27" s="177">
        <f>Бланк!AB45</f>
        <v>0</v>
      </c>
      <c r="W27" s="177">
        <f>Бланк!AC45</f>
        <v>0</v>
      </c>
      <c r="X27" s="175">
        <f>IF(OR($C27=0,$C27=""),0,IF(AND(OR($T27="",$T27=0),$V27="Матове",OR($F27=4,$F27=6,$F27=8,$F27=10,$F27=16)),$AG27*Прайс!$F$10,IF(AND(OR($T27="",$T27=0),$V27="Матове+акрил",OR($F27=4,$F27=6,$F27=8,$F27=10,$F27=16)),$AG27*Прайс!#REF!,IF(AND(OR($T27="",$T27=0),$V27="Софт(TS)",OR($F27=4,$F27=6,$F27=8,$F27=10,$F27=16)),$AG27*Прайс!$F$11,IF(AND(OR($T27="",$T27=0),$V27="Глянець",OR($F27=4,$F27=6,$F27=8,$F27=10,$F27=16)),$AG27*Прайс!$F$12,IF(AND(OR($T27="Перл.ср.",$T27="Перл.зол."),OR($F27=4,$F27=6,$F27=8,$F27=10,$F27=16)),$AG27*Прайс!$F$13,IF(AND($T27="Гума",OR($F27=4,$F27=6,$F27=8,$F27=10,$F27=16)),$AG27*Прайс!$F$14,IF(AND($T27="Металік",OR($F27=4,$F27=6,$F27=8,$F27=10,$F27=16)),$AG27*Прайс!$F$15,IF(AND($T27="Рідке скло",OR($F27=4,$F27=6,$F27=8,$F27=10,$F27=16)),$AG27*Прайс!$F$16,IF(AND(OR($T27="Перли",$T27="Графіт"),OR($F27=4,$F27=6,$F27=8,$F27=10,$F27=16)),$AG27*Прайс!$F$17,IF(AND(OR($T27="Зор.н.ср.",$T27="Зор.н.зол.",$T27="Зор.н.різн."),OR($F27=4,$F27=6,$F27=8,$F27=10,$F27=16)),$AG27*Прайс!$F$18,IF(AND(,$T27="2-х кол.х.",OR($F27=4,$F27=6,$F27=8,$F27=10,$F27=16)),$AG27*Прайс!$F$19,IF(AND($T27="3-х кол.х.",OR($F27=4,$F27=6,$F27=8,$F27=10,$F27=16)),$AG27*Прайс!$F$20,IF(AND($T27="Фотодрук",OR($F27=4,$F27=6,$F27=8,$F27=10,$F27=16)),$AG27*Прайс!$F$21,0))))))))))))))</f>
        <v>0</v>
      </c>
      <c r="Y27" s="175">
        <f>IF(OR($C27=0,$C27=""),0,IF(AND(OR($T27="",$T27=0),$V27="Матове",$F27=19),$AG27*Прайс!$G$10,IF(AND(OR($T27="",$T27=0),$V27="Матове+акрил",$F27=19),$AG27*Прайс!#REF!,IF(AND(OR($T27="",$T27=0),$V27="Софт(TS)",$F27=19),$AG27*Прайс!$G$11,IF(AND(OR($T27="",$T27=0),$V27="Глянець",$F27=19),$AG27*Прайс!$G$12,IF(AND(OR($T27="Перл.ср.",$T27="Перл.зол."),$F27=19),$AG27*Прайс!$G$13,IF(AND($T27="Гума",$F27=19),$AG27*Прайс!$G$14,IF(AND($T27="Металік",$F27=19),$AG27*Прайс!$G$15,IF(AND($T27="Рідке скло",$F27=19),$AG27*Прайс!$G$16,IF(AND(OR($T27="Перли",$T27="Графіт"),$F27=19),$AG27*Прайс!$G$17,IF(AND(OR($T27="Зор.н.ср.",$T27="Зор.н.зол.",$T27="Зор.н.різн."),$F27=19),$AG27*Прайс!$G$18,IF(AND($T27="2-х кол.х.",$F27=19),$AG27*Прайс!$G$19,IF(AND($T27="3-х кол.х.",$F27=19),$AG27*Прайс!$G$20,IF(AND($T27="Фотодрук",$F27=19),$AG27*Прайс!$G$21,0))))))))))))))</f>
        <v>0</v>
      </c>
      <c r="Z27" s="175">
        <f>IF(OR($C27=0,$C27=""),0,IF(AND(OR($T27="",$T27=0),$W27="Матове",OR($F27=4,$F27=6,$F27=8,$F27=10,$F27=16,$F27=19)),$AG27*(Прайс!$F$10-500),IF(AND(OR($T27="",$T27=0),$W27="Матове+акрил",OR($F27=4,$F27=6,$F27=8,$F27=10,$F27=16,$F27=19)),$AG27*(Прайс!#REF!-500),IF(AND(OR($T27="",$T27=0),$W27="Софт(TS)",OR($F27=4,$F27=6,$F27=8,$F27=10,$F27=16,$F27=19)),$AG27*(Прайс!$F$11-500),IF(AND(OR($T27="",$T27=0),$W27="Глянець",OR($F27=4,$F27=6,$F27=8,$F27=10,$F27=16,$F27=19)),$AG27*(Прайс!$F$12-500),IF(AND(OR($T27="Перл.ср.",$T27="Перл.зол."),OR($F27=4,$F27=6,$F27=8,$F27=10,$F27=16,$F27=19)),$AG27*(Прайс!$F$13-500),IF(AND($T27="Гума",OR($F27=4,$F27=6,$F27=8,$F27=10,$F27=16,$F27=19)),$AG27*(Прайс!$F$14-500),IF(AND($T27="Металік",OR($F27=4,$F27=6,$F27=8,$F27=10,$F27=16,$F27=19)),$AG27*(Прайс!$F$15-500),IF(AND($T27="Рідке скло",OR($F27=4,$F27=6,$F27=8,$F27=10,$F27=16,$F27=19)),$AG27*(Прайс!$F$16-500),IF(AND(OR($T27="Перли",$T27="Графіт"),OR($F27=4,$F27=6,$F27=8,$F27=10,$F27=16,$F27=19)),$AG27*(Прайс!$F$17-500),IF(AND(OR($T27="Зор.н.ср.",$T27="Зор.н.зол.",$T27="Зор.н.різн."),OR($F27=4,$F27=6,$F27=8,$F27=10,$F27=16,$F27=19)),$AG27*(Прайс!$F$18-500),IF(AND(,$T27="2-х кол.х.",OR($F27=4,$F27=6,$F27=8,$F27=10,$F27=16,$F27=19)),$AG27*(Прайс!$F$19-500),IF(AND($T27="3-х кол.х.",OR($F27=4,$F27=6,$F27=8,$F27=10,$F27=16,$F27=19)),$AG27*(Прайс!$F$20-500),IF(AND($T27="Фотодрук",OR($F27=4,$F27=6,$F27=8,$F27=10,$F27=16,$F27=19)),$AG27*(Прайс!$F$21-500),0))))))))))))))</f>
        <v>0</v>
      </c>
      <c r="AA27" s="178">
        <f>IF(Бланк!AD45=0,0,Бланк!AD45*E27)</f>
        <v>0</v>
      </c>
      <c r="AB27" s="178">
        <f>Бланк!AE45</f>
        <v>0</v>
      </c>
      <c r="AC27" s="175">
        <f>IF(OR(AA$3=0,$AA27=""),0,$AA27*Прайс!$D$49)</f>
        <v>0</v>
      </c>
      <c r="AD27" s="178">
        <f>Бланк!AF45</f>
        <v>0</v>
      </c>
      <c r="AE27" s="178">
        <f>Бланк!AG45</f>
        <v>0</v>
      </c>
      <c r="AF27" s="178">
        <f>Бланк!AH45</f>
        <v>0</v>
      </c>
      <c r="AG27" s="123">
        <f>Бланк!$AI45</f>
        <v>0</v>
      </c>
      <c r="AH27" s="183"/>
      <c r="AI27" s="183"/>
      <c r="AJ27" s="183"/>
      <c r="AK27" s="183"/>
      <c r="AL27" s="184"/>
      <c r="AM27" s="184"/>
      <c r="AN27" s="184"/>
      <c r="AO27" s="184"/>
      <c r="AP27" s="185"/>
      <c r="AQ27" s="181"/>
    </row>
    <row r="28" spans="2:43" s="186" customFormat="1" ht="21" customHeight="1" x14ac:dyDescent="0.3">
      <c r="B28" s="182">
        <v>26</v>
      </c>
      <c r="C28" s="170" t="str">
        <f>IF(Бланк!$C46="","",Бланк!$C46/1000)</f>
        <v/>
      </c>
      <c r="D28" s="171" t="str">
        <f>IF(Бланк!$D46="","",Бланк!$D46/1000)</f>
        <v/>
      </c>
      <c r="E28" s="172" t="str">
        <f>IF(Бланк!E46="","",Бланк!E46)</f>
        <v/>
      </c>
      <c r="F28" s="172" t="str">
        <f>IF(Бланк!F46="","",Бланк!F46)</f>
        <v/>
      </c>
      <c r="G28" s="172" t="str">
        <f>IF(Бланк!H46="","",Бланк!H46)</f>
        <v/>
      </c>
      <c r="H28" s="172" t="str">
        <f>IF(Бланк!I46="","",Бланк!I46)</f>
        <v/>
      </c>
      <c r="I28" s="173" t="str">
        <f>IF(OR($C28="",$C28=0),"",IF($H28="Пряма з чвертю",(Прайс!$D$39+Прайс!$D$42)*Просчет!$E28,IF(Просчет!$H28="Пряма без чверті",Прайс!$D$39*Просчет!$E28,IF(AND(Просчет!$H28="Шпрос з чвертю",OR($C28&lt;1,$C28=1)),(Прайс!$D$40+Прайс!$D$43)*Просчет!$E28,IF(AND($H28="Шпрос з чвертю",$C28&gt;1),(Прайс!$F$40+Прайс!$D$43)*Просчет!$E28,IF(AND($H28="Шпрос без чверті",OR($C28&lt;1,$C28=1)),Прайс!$D$40*Просчет!$E28,IF(AND($H28="Шпрос без чверті",$C28&gt;1),Прайс!$F$40*Просчет!$E28,"")))))))</f>
        <v/>
      </c>
      <c r="J28" s="174" t="str">
        <f>IF(Бланк!$J46="","",Бланк!$J46/1000)</f>
        <v/>
      </c>
      <c r="K28" s="174">
        <f>Бланк!K46</f>
        <v>0</v>
      </c>
      <c r="L28" s="174">
        <f>Бланк!L46</f>
        <v>0</v>
      </c>
      <c r="M28" s="174">
        <f>Бланк!M46</f>
        <v>0</v>
      </c>
      <c r="N28" s="175">
        <f t="shared" si="0"/>
        <v>0</v>
      </c>
      <c r="O28" s="173">
        <f>IF($K28="","",IF(OR($K28="J № 1",$K28="J № 2",$K28="J № 2L",$K28="J № 2R",$K28="AJ № 2",$K28="AJ № 2L",$K28="AJ № 2R",$K28="U",$K28="V"),$N28*Прайс!$D$46,IF(OR($K28="AJ № 3R",$K28="AJ № 4R",$K28="AJ № 5R",$K28="AJ № 3L",$K28="AJ № 4L",$K28="AJ № 5L",$K28="AJ № 3",$K28="AJ № 4",$K28="AJ № 5",$K28="J № 3",$K28="J № 4",$K28="J № 5",$K28="J № 6",$K28="J № 7",$K28="L",$K28="AL"),Прайс!$D$47*$E28,IF(OR($K28="J № 3L",$K28="J № 3R",$K28="J № 4L",$K28="J № 4R",$K28="J № 5L",$K28="J № 5R"),$N28/2*Прайс!$D$47*$E28,IF($K28="45 град.",$N28*Прайс!$D$45,0)))))</f>
        <v>0</v>
      </c>
      <c r="P28" s="234">
        <f>IF($K28="",0,IF(OR($M28=$S28,$M28=0),0,$N28*Прайс!$D$62))</f>
        <v>0</v>
      </c>
      <c r="Q28" s="176">
        <f>Бланк!N46</f>
        <v>0</v>
      </c>
      <c r="R28" s="177">
        <f>Бланк!R46</f>
        <v>0</v>
      </c>
      <c r="S28" s="177">
        <f>Бланк!S46</f>
        <v>0</v>
      </c>
      <c r="T28" s="177" t="str">
        <f>IF(Бланк!T46="","",Бланк!T46)</f>
        <v/>
      </c>
      <c r="U28" s="177">
        <f>Бланк!U46</f>
        <v>0</v>
      </c>
      <c r="V28" s="177">
        <f>Бланк!AB46</f>
        <v>0</v>
      </c>
      <c r="W28" s="177">
        <f>Бланк!AC46</f>
        <v>0</v>
      </c>
      <c r="X28" s="175">
        <f>IF(OR($C28=0,$C28=""),0,IF(AND(OR($T28="",$T28=0),$V28="Матове",OR($F28=4,$F28=6,$F28=8,$F28=10,$F28=16)),$AG28*Прайс!$F$10,IF(AND(OR($T28="",$T28=0),$V28="Матове+акрил",OR($F28=4,$F28=6,$F28=8,$F28=10,$F28=16)),$AG28*Прайс!#REF!,IF(AND(OR($T28="",$T28=0),$V28="Софт(TS)",OR($F28=4,$F28=6,$F28=8,$F28=10,$F28=16)),$AG28*Прайс!$F$11,IF(AND(OR($T28="",$T28=0),$V28="Глянець",OR($F28=4,$F28=6,$F28=8,$F28=10,$F28=16)),$AG28*Прайс!$F$12,IF(AND(OR($T28="Перл.ср.",$T28="Перл.зол."),OR($F28=4,$F28=6,$F28=8,$F28=10,$F28=16)),$AG28*Прайс!$F$13,IF(AND($T28="Гума",OR($F28=4,$F28=6,$F28=8,$F28=10,$F28=16)),$AG28*Прайс!$F$14,IF(AND($T28="Металік",OR($F28=4,$F28=6,$F28=8,$F28=10,$F28=16)),$AG28*Прайс!$F$15,IF(AND($T28="Рідке скло",OR($F28=4,$F28=6,$F28=8,$F28=10,$F28=16)),$AG28*Прайс!$F$16,IF(AND(OR($T28="Перли",$T28="Графіт"),OR($F28=4,$F28=6,$F28=8,$F28=10,$F28=16)),$AG28*Прайс!$F$17,IF(AND(OR($T28="Зор.н.ср.",$T28="Зор.н.зол.",$T28="Зор.н.різн."),OR($F28=4,$F28=6,$F28=8,$F28=10,$F28=16)),$AG28*Прайс!$F$18,IF(AND(,$T28="2-х кол.х.",OR($F28=4,$F28=6,$F28=8,$F28=10,$F28=16)),$AG28*Прайс!$F$19,IF(AND($T28="3-х кол.х.",OR($F28=4,$F28=6,$F28=8,$F28=10,$F28=16)),$AG28*Прайс!$F$20,IF(AND($T28="Фотодрук",OR($F28=4,$F28=6,$F28=8,$F28=10,$F28=16)),$AG28*Прайс!$F$21,0))))))))))))))</f>
        <v>0</v>
      </c>
      <c r="Y28" s="175">
        <f>IF(OR($C28=0,$C28=""),0,IF(AND(OR($T28="",$T28=0),$V28="Матове",$F28=19),$AG28*Прайс!$G$10,IF(AND(OR($T28="",$T28=0),$V28="Матове+акрил",$F28=19),$AG28*Прайс!#REF!,IF(AND(OR($T28="",$T28=0),$V28="Софт(TS)",$F28=19),$AG28*Прайс!$G$11,IF(AND(OR($T28="",$T28=0),$V28="Глянець",$F28=19),$AG28*Прайс!$G$12,IF(AND(OR($T28="Перл.ср.",$T28="Перл.зол."),$F28=19),$AG28*Прайс!$G$13,IF(AND($T28="Гума",$F28=19),$AG28*Прайс!$G$14,IF(AND($T28="Металік",$F28=19),$AG28*Прайс!$G$15,IF(AND($T28="Рідке скло",$F28=19),$AG28*Прайс!$G$16,IF(AND(OR($T28="Перли",$T28="Графіт"),$F28=19),$AG28*Прайс!$G$17,IF(AND(OR($T28="Зор.н.ср.",$T28="Зор.н.зол.",$T28="Зор.н.різн."),$F28=19),$AG28*Прайс!$G$18,IF(AND($T28="2-х кол.х.",$F28=19),$AG28*Прайс!$G$19,IF(AND($T28="3-х кол.х.",$F28=19),$AG28*Прайс!$G$20,IF(AND($T28="Фотодрук",$F28=19),$AG28*Прайс!$G$21,0))))))))))))))</f>
        <v>0</v>
      </c>
      <c r="Z28" s="175">
        <f>IF(OR($C28=0,$C28=""),0,IF(AND(OR($T28="",$T28=0),$W28="Матове",OR($F28=4,$F28=6,$F28=8,$F28=10,$F28=16,$F28=19)),$AG28*(Прайс!$F$10-500),IF(AND(OR($T28="",$T28=0),$W28="Матове+акрил",OR($F28=4,$F28=6,$F28=8,$F28=10,$F28=16,$F28=19)),$AG28*(Прайс!#REF!-500),IF(AND(OR($T28="",$T28=0),$W28="Софт(TS)",OR($F28=4,$F28=6,$F28=8,$F28=10,$F28=16,$F28=19)),$AG28*(Прайс!$F$11-500),IF(AND(OR($T28="",$T28=0),$W28="Глянець",OR($F28=4,$F28=6,$F28=8,$F28=10,$F28=16,$F28=19)),$AG28*(Прайс!$F$12-500),IF(AND(OR($T28="Перл.ср.",$T28="Перл.зол."),OR($F28=4,$F28=6,$F28=8,$F28=10,$F28=16,$F28=19)),$AG28*(Прайс!$F$13-500),IF(AND($T28="Гума",OR($F28=4,$F28=6,$F28=8,$F28=10,$F28=16,$F28=19)),$AG28*(Прайс!$F$14-500),IF(AND($T28="Металік",OR($F28=4,$F28=6,$F28=8,$F28=10,$F28=16,$F28=19)),$AG28*(Прайс!$F$15-500),IF(AND($T28="Рідке скло",OR($F28=4,$F28=6,$F28=8,$F28=10,$F28=16,$F28=19)),$AG28*(Прайс!$F$16-500),IF(AND(OR($T28="Перли",$T28="Графіт"),OR($F28=4,$F28=6,$F28=8,$F28=10,$F28=16,$F28=19)),$AG28*(Прайс!$F$17-500),IF(AND(OR($T28="Зор.н.ср.",$T28="Зор.н.зол.",$T28="Зор.н.різн."),OR($F28=4,$F28=6,$F28=8,$F28=10,$F28=16,$F28=19)),$AG28*(Прайс!$F$18-500),IF(AND(,$T28="2-х кол.х.",OR($F28=4,$F28=6,$F28=8,$F28=10,$F28=16,$F28=19)),$AG28*(Прайс!$F$19-500),IF(AND($T28="3-х кол.х.",OR($F28=4,$F28=6,$F28=8,$F28=10,$F28=16,$F28=19)),$AG28*(Прайс!$F$20-500),IF(AND($T28="Фотодрук",OR($F28=4,$F28=6,$F28=8,$F28=10,$F28=16,$F28=19)),$AG28*(Прайс!$F$21-500),0))))))))))))))</f>
        <v>0</v>
      </c>
      <c r="AA28" s="178">
        <f>IF(Бланк!AD46=0,0,Бланк!AD46*E28)</f>
        <v>0</v>
      </c>
      <c r="AB28" s="178">
        <f>Бланк!AE46</f>
        <v>0</v>
      </c>
      <c r="AC28" s="175">
        <f>IF(OR(AA$3=0,$AA28=""),0,$AA28*Прайс!$D$49)</f>
        <v>0</v>
      </c>
      <c r="AD28" s="178">
        <f>Бланк!AF46</f>
        <v>0</v>
      </c>
      <c r="AE28" s="178">
        <f>Бланк!AG46</f>
        <v>0</v>
      </c>
      <c r="AF28" s="178">
        <f>Бланк!AH46</f>
        <v>0</v>
      </c>
      <c r="AG28" s="123">
        <f>Бланк!$AI46</f>
        <v>0</v>
      </c>
      <c r="AH28" s="183"/>
      <c r="AI28" s="183"/>
      <c r="AJ28" s="183"/>
      <c r="AK28" s="183"/>
      <c r="AL28" s="184"/>
      <c r="AM28" s="184"/>
      <c r="AN28" s="184"/>
      <c r="AO28" s="184"/>
      <c r="AP28" s="185"/>
      <c r="AQ28" s="181"/>
    </row>
    <row r="29" spans="2:43" s="186" customFormat="1" ht="21" customHeight="1" x14ac:dyDescent="0.3">
      <c r="B29" s="182">
        <v>27</v>
      </c>
      <c r="C29" s="170" t="str">
        <f>IF(Бланк!$C47="","",Бланк!$C47/1000)</f>
        <v/>
      </c>
      <c r="D29" s="171" t="str">
        <f>IF(Бланк!$D47="","",Бланк!$D47/1000)</f>
        <v/>
      </c>
      <c r="E29" s="172" t="str">
        <f>IF(Бланк!E47="","",Бланк!E47)</f>
        <v/>
      </c>
      <c r="F29" s="172" t="str">
        <f>IF(Бланк!F47="","",Бланк!F47)</f>
        <v/>
      </c>
      <c r="G29" s="172" t="str">
        <f>IF(Бланк!H47="","",Бланк!H47)</f>
        <v/>
      </c>
      <c r="H29" s="172" t="str">
        <f>IF(Бланк!I47="","",Бланк!I47)</f>
        <v/>
      </c>
      <c r="I29" s="173" t="str">
        <f>IF(OR($C29="",$C29=0),"",IF($H29="Пряма з чвертю",(Прайс!$D$39+Прайс!$D$42)*Просчет!$E29,IF(Просчет!$H29="Пряма без чверті",Прайс!$D$39*Просчет!$E29,IF(AND(Просчет!$H29="Шпрос з чвертю",OR($C29&lt;1,$C29=1)),(Прайс!$D$40+Прайс!$D$43)*Просчет!$E29,IF(AND($H29="Шпрос з чвертю",$C29&gt;1),(Прайс!$F$40+Прайс!$D$43)*Просчет!$E29,IF(AND($H29="Шпрос без чверті",OR($C29&lt;1,$C29=1)),Прайс!$D$40*Просчет!$E29,IF(AND($H29="Шпрос без чверті",$C29&gt;1),Прайс!$F$40*Просчет!$E29,"")))))))</f>
        <v/>
      </c>
      <c r="J29" s="174" t="str">
        <f>IF(Бланк!$J47="","",Бланк!$J47/1000)</f>
        <v/>
      </c>
      <c r="K29" s="174">
        <f>Бланк!K47</f>
        <v>0</v>
      </c>
      <c r="L29" s="174">
        <f>Бланк!L47</f>
        <v>0</v>
      </c>
      <c r="M29" s="174">
        <f>Бланк!M47</f>
        <v>0</v>
      </c>
      <c r="N29" s="175">
        <f t="shared" si="0"/>
        <v>0</v>
      </c>
      <c r="O29" s="173">
        <f>IF($K29="","",IF(OR($K29="J № 1",$K29="J № 2",$K29="J № 2L",$K29="J № 2R",$K29="AJ № 2",$K29="AJ № 2L",$K29="AJ № 2R",$K29="U",$K29="V"),$N29*Прайс!$D$46,IF(OR($K29="AJ № 3R",$K29="AJ № 4R",$K29="AJ № 5R",$K29="AJ № 3L",$K29="AJ № 4L",$K29="AJ № 5L",$K29="AJ № 3",$K29="AJ № 4",$K29="AJ № 5",$K29="J № 3",$K29="J № 4",$K29="J № 5",$K29="J № 6",$K29="J № 7",$K29="L",$K29="AL"),Прайс!$D$47*$E29,IF(OR($K29="J № 3L",$K29="J № 3R",$K29="J № 4L",$K29="J № 4R",$K29="J № 5L",$K29="J № 5R"),$N29/2*Прайс!$D$47*$E29,IF($K29="45 град.",$N29*Прайс!$D$45,0)))))</f>
        <v>0</v>
      </c>
      <c r="P29" s="234">
        <f>IF($K29="",0,IF(OR($M29=$S29,$M29=0),0,$N29*Прайс!$D$62))</f>
        <v>0</v>
      </c>
      <c r="Q29" s="176">
        <f>Бланк!N47</f>
        <v>0</v>
      </c>
      <c r="R29" s="177">
        <f>Бланк!R47</f>
        <v>0</v>
      </c>
      <c r="S29" s="177">
        <f>Бланк!S47</f>
        <v>0</v>
      </c>
      <c r="T29" s="177" t="str">
        <f>IF(Бланк!T47="","",Бланк!T47)</f>
        <v/>
      </c>
      <c r="U29" s="177">
        <f>Бланк!U47</f>
        <v>0</v>
      </c>
      <c r="V29" s="177">
        <f>Бланк!AB47</f>
        <v>0</v>
      </c>
      <c r="W29" s="177">
        <f>Бланк!AC47</f>
        <v>0</v>
      </c>
      <c r="X29" s="175">
        <f>IF(OR($C29=0,$C29=""),0,IF(AND(OR($T29="",$T29=0),$V29="Матове",OR($F29=4,$F29=6,$F29=8,$F29=10,$F29=16)),$AG29*Прайс!$F$10,IF(AND(OR($T29="",$T29=0),$V29="Матове+акрил",OR($F29=4,$F29=6,$F29=8,$F29=10,$F29=16)),$AG29*Прайс!#REF!,IF(AND(OR($T29="",$T29=0),$V29="Софт(TS)",OR($F29=4,$F29=6,$F29=8,$F29=10,$F29=16)),$AG29*Прайс!$F$11,IF(AND(OR($T29="",$T29=0),$V29="Глянець",OR($F29=4,$F29=6,$F29=8,$F29=10,$F29=16)),$AG29*Прайс!$F$12,IF(AND(OR($T29="Перл.ср.",$T29="Перл.зол."),OR($F29=4,$F29=6,$F29=8,$F29=10,$F29=16)),$AG29*Прайс!$F$13,IF(AND($T29="Гума",OR($F29=4,$F29=6,$F29=8,$F29=10,$F29=16)),$AG29*Прайс!$F$14,IF(AND($T29="Металік",OR($F29=4,$F29=6,$F29=8,$F29=10,$F29=16)),$AG29*Прайс!$F$15,IF(AND($T29="Рідке скло",OR($F29=4,$F29=6,$F29=8,$F29=10,$F29=16)),$AG29*Прайс!$F$16,IF(AND(OR($T29="Перли",$T29="Графіт"),OR($F29=4,$F29=6,$F29=8,$F29=10,$F29=16)),$AG29*Прайс!$F$17,IF(AND(OR($T29="Зор.н.ср.",$T29="Зор.н.зол.",$T29="Зор.н.різн."),OR($F29=4,$F29=6,$F29=8,$F29=10,$F29=16)),$AG29*Прайс!$F$18,IF(AND(,$T29="2-х кол.х.",OR($F29=4,$F29=6,$F29=8,$F29=10,$F29=16)),$AG29*Прайс!$F$19,IF(AND($T29="3-х кол.х.",OR($F29=4,$F29=6,$F29=8,$F29=10,$F29=16)),$AG29*Прайс!$F$20,IF(AND($T29="Фотодрук",OR($F29=4,$F29=6,$F29=8,$F29=10,$F29=16)),$AG29*Прайс!$F$21,0))))))))))))))</f>
        <v>0</v>
      </c>
      <c r="Y29" s="175">
        <f>IF(OR($C29=0,$C29=""),0,IF(AND(OR($T29="",$T29=0),$V29="Матове",$F29=19),$AG29*Прайс!$G$10,IF(AND(OR($T29="",$T29=0),$V29="Матове+акрил",$F29=19),$AG29*Прайс!#REF!,IF(AND(OR($T29="",$T29=0),$V29="Софт(TS)",$F29=19),$AG29*Прайс!$G$11,IF(AND(OR($T29="",$T29=0),$V29="Глянець",$F29=19),$AG29*Прайс!$G$12,IF(AND(OR($T29="Перл.ср.",$T29="Перл.зол."),$F29=19),$AG29*Прайс!$G$13,IF(AND($T29="Гума",$F29=19),$AG29*Прайс!$G$14,IF(AND($T29="Металік",$F29=19),$AG29*Прайс!$G$15,IF(AND($T29="Рідке скло",$F29=19),$AG29*Прайс!$G$16,IF(AND(OR($T29="Перли",$T29="Графіт"),$F29=19),$AG29*Прайс!$G$17,IF(AND(OR($T29="Зор.н.ср.",$T29="Зор.н.зол.",$T29="Зор.н.різн."),$F29=19),$AG29*Прайс!$G$18,IF(AND($T29="2-х кол.х.",$F29=19),$AG29*Прайс!$G$19,IF(AND($T29="3-х кол.х.",$F29=19),$AG29*Прайс!$G$20,IF(AND($T29="Фотодрук",$F29=19),$AG29*Прайс!$G$21,0))))))))))))))</f>
        <v>0</v>
      </c>
      <c r="Z29" s="175">
        <f>IF(OR($C29=0,$C29=""),0,IF(AND(OR($T29="",$T29=0),$W29="Матове",OR($F29=4,$F29=6,$F29=8,$F29=10,$F29=16,$F29=19)),$AG29*(Прайс!$F$10-500),IF(AND(OR($T29="",$T29=0),$W29="Матове+акрил",OR($F29=4,$F29=6,$F29=8,$F29=10,$F29=16,$F29=19)),$AG29*(Прайс!#REF!-500),IF(AND(OR($T29="",$T29=0),$W29="Софт(TS)",OR($F29=4,$F29=6,$F29=8,$F29=10,$F29=16,$F29=19)),$AG29*(Прайс!$F$11-500),IF(AND(OR($T29="",$T29=0),$W29="Глянець",OR($F29=4,$F29=6,$F29=8,$F29=10,$F29=16,$F29=19)),$AG29*(Прайс!$F$12-500),IF(AND(OR($T29="Перл.ср.",$T29="Перл.зол."),OR($F29=4,$F29=6,$F29=8,$F29=10,$F29=16,$F29=19)),$AG29*(Прайс!$F$13-500),IF(AND($T29="Гума",OR($F29=4,$F29=6,$F29=8,$F29=10,$F29=16,$F29=19)),$AG29*(Прайс!$F$14-500),IF(AND($T29="Металік",OR($F29=4,$F29=6,$F29=8,$F29=10,$F29=16,$F29=19)),$AG29*(Прайс!$F$15-500),IF(AND($T29="Рідке скло",OR($F29=4,$F29=6,$F29=8,$F29=10,$F29=16,$F29=19)),$AG29*(Прайс!$F$16-500),IF(AND(OR($T29="Перли",$T29="Графіт"),OR($F29=4,$F29=6,$F29=8,$F29=10,$F29=16,$F29=19)),$AG29*(Прайс!$F$17-500),IF(AND(OR($T29="Зор.н.ср.",$T29="Зор.н.зол.",$T29="Зор.н.різн."),OR($F29=4,$F29=6,$F29=8,$F29=10,$F29=16,$F29=19)),$AG29*(Прайс!$F$18-500),IF(AND(,$T29="2-х кол.х.",OR($F29=4,$F29=6,$F29=8,$F29=10,$F29=16,$F29=19)),$AG29*(Прайс!$F$19-500),IF(AND($T29="3-х кол.х.",OR($F29=4,$F29=6,$F29=8,$F29=10,$F29=16,$F29=19)),$AG29*(Прайс!$F$20-500),IF(AND($T29="Фотодрук",OR($F29=4,$F29=6,$F29=8,$F29=10,$F29=16,$F29=19)),$AG29*(Прайс!$F$21-500),0))))))))))))))</f>
        <v>0</v>
      </c>
      <c r="AA29" s="178">
        <f>IF(Бланк!AD47=0,0,Бланк!AD47*E29)</f>
        <v>0</v>
      </c>
      <c r="AB29" s="178">
        <f>Бланк!AE47</f>
        <v>0</v>
      </c>
      <c r="AC29" s="175">
        <f>IF(OR(AA$3=0,$AA29=""),0,$AA29*Прайс!$D$49)</f>
        <v>0</v>
      </c>
      <c r="AD29" s="178">
        <f>Бланк!AF47</f>
        <v>0</v>
      </c>
      <c r="AE29" s="178">
        <f>Бланк!AG47</f>
        <v>0</v>
      </c>
      <c r="AF29" s="178">
        <f>Бланк!AH47</f>
        <v>0</v>
      </c>
      <c r="AG29" s="123">
        <f>Бланк!$AI47</f>
        <v>0</v>
      </c>
      <c r="AH29" s="183"/>
      <c r="AI29" s="183"/>
      <c r="AJ29" s="183"/>
      <c r="AK29" s="183"/>
      <c r="AL29" s="184"/>
      <c r="AM29" s="184"/>
      <c r="AN29" s="184"/>
      <c r="AO29" s="184"/>
      <c r="AP29" s="185"/>
      <c r="AQ29" s="181"/>
    </row>
    <row r="30" spans="2:43" s="186" customFormat="1" ht="21" customHeight="1" x14ac:dyDescent="0.3">
      <c r="B30" s="182">
        <v>28</v>
      </c>
      <c r="C30" s="170" t="str">
        <f>IF(Бланк!$C48="","",Бланк!$C48/1000)</f>
        <v/>
      </c>
      <c r="D30" s="171" t="str">
        <f>IF(Бланк!$D48="","",Бланк!$D48/1000)</f>
        <v/>
      </c>
      <c r="E30" s="172" t="str">
        <f>IF(Бланк!E48="","",Бланк!E48)</f>
        <v/>
      </c>
      <c r="F30" s="172" t="str">
        <f>IF(Бланк!F48="","",Бланк!F48)</f>
        <v/>
      </c>
      <c r="G30" s="172" t="str">
        <f>IF(Бланк!H48="","",Бланк!H48)</f>
        <v/>
      </c>
      <c r="H30" s="172" t="str">
        <f>IF(Бланк!I48="","",Бланк!I48)</f>
        <v/>
      </c>
      <c r="I30" s="173" t="str">
        <f>IF(OR($C30="",$C30=0),"",IF($H30="Пряма з чвертю",(Прайс!$D$39+Прайс!$D$42)*Просчет!$E30,IF(Просчет!$H30="Пряма без чверті",Прайс!$D$39*Просчет!$E30,IF(AND(Просчет!$H30="Шпрос з чвертю",OR($C30&lt;1,$C30=1)),(Прайс!$D$40+Прайс!$D$43)*Просчет!$E30,IF(AND($H30="Шпрос з чвертю",$C30&gt;1),(Прайс!$F$40+Прайс!$D$43)*Просчет!$E30,IF(AND($H30="Шпрос без чверті",OR($C30&lt;1,$C30=1)),Прайс!$D$40*Просчет!$E30,IF(AND($H30="Шпрос без чверті",$C30&gt;1),Прайс!$F$40*Просчет!$E30,"")))))))</f>
        <v/>
      </c>
      <c r="J30" s="174" t="str">
        <f>IF(Бланк!$J48="","",Бланк!$J48/1000)</f>
        <v/>
      </c>
      <c r="K30" s="174">
        <f>Бланк!K48</f>
        <v>0</v>
      </c>
      <c r="L30" s="174">
        <f>Бланк!L48</f>
        <v>0</v>
      </c>
      <c r="M30" s="174">
        <f>Бланк!M48</f>
        <v>0</v>
      </c>
      <c r="N30" s="175">
        <f t="shared" si="0"/>
        <v>0</v>
      </c>
      <c r="O30" s="173">
        <f>IF($K30="","",IF(OR($K30="J № 1",$K30="J № 2",$K30="J № 2L",$K30="J № 2R",$K30="AJ № 2",$K30="AJ № 2L",$K30="AJ № 2R",$K30="U",$K30="V"),$N30*Прайс!$D$46,IF(OR($K30="AJ № 3R",$K30="AJ № 4R",$K30="AJ № 5R",$K30="AJ № 3L",$K30="AJ № 4L",$K30="AJ № 5L",$K30="AJ № 3",$K30="AJ № 4",$K30="AJ № 5",$K30="J № 3",$K30="J № 4",$K30="J № 5",$K30="J № 6",$K30="J № 7",$K30="L",$K30="AL"),Прайс!$D$47*$E30,IF(OR($K30="J № 3L",$K30="J № 3R",$K30="J № 4L",$K30="J № 4R",$K30="J № 5L",$K30="J № 5R"),$N30/2*Прайс!$D$47*$E30,IF($K30="45 град.",$N30*Прайс!$D$45,0)))))</f>
        <v>0</v>
      </c>
      <c r="P30" s="234">
        <f>IF($K30="",0,IF(OR($M30=$S30,$M30=0),0,$N30*Прайс!$D$62))</f>
        <v>0</v>
      </c>
      <c r="Q30" s="176">
        <f>Бланк!N48</f>
        <v>0</v>
      </c>
      <c r="R30" s="177">
        <f>Бланк!R48</f>
        <v>0</v>
      </c>
      <c r="S30" s="177">
        <f>Бланк!S48</f>
        <v>0</v>
      </c>
      <c r="T30" s="177" t="str">
        <f>IF(Бланк!T48="","",Бланк!T48)</f>
        <v/>
      </c>
      <c r="U30" s="177">
        <f>Бланк!U48</f>
        <v>0</v>
      </c>
      <c r="V30" s="177">
        <f>Бланк!AB48</f>
        <v>0</v>
      </c>
      <c r="W30" s="177">
        <f>Бланк!AC48</f>
        <v>0</v>
      </c>
      <c r="X30" s="175">
        <f>IF(OR($C30=0,$C30=""),0,IF(AND(OR($T30="",$T30=0),$V30="Матове",OR($F30=4,$F30=6,$F30=8,$F30=10,$F30=16)),$AG30*Прайс!$F$10,IF(AND(OR($T30="",$T30=0),$V30="Матове+акрил",OR($F30=4,$F30=6,$F30=8,$F30=10,$F30=16)),$AG30*Прайс!#REF!,IF(AND(OR($T30="",$T30=0),$V30="Софт(TS)",OR($F30=4,$F30=6,$F30=8,$F30=10,$F30=16)),$AG30*Прайс!$F$11,IF(AND(OR($T30="",$T30=0),$V30="Глянець",OR($F30=4,$F30=6,$F30=8,$F30=10,$F30=16)),$AG30*Прайс!$F$12,IF(AND(OR($T30="Перл.ср.",$T30="Перл.зол."),OR($F30=4,$F30=6,$F30=8,$F30=10,$F30=16)),$AG30*Прайс!$F$13,IF(AND($T30="Гума",OR($F30=4,$F30=6,$F30=8,$F30=10,$F30=16)),$AG30*Прайс!$F$14,IF(AND($T30="Металік",OR($F30=4,$F30=6,$F30=8,$F30=10,$F30=16)),$AG30*Прайс!$F$15,IF(AND($T30="Рідке скло",OR($F30=4,$F30=6,$F30=8,$F30=10,$F30=16)),$AG30*Прайс!$F$16,IF(AND(OR($T30="Перли",$T30="Графіт"),OR($F30=4,$F30=6,$F30=8,$F30=10,$F30=16)),$AG30*Прайс!$F$17,IF(AND(OR($T30="Зор.н.ср.",$T30="Зор.н.зол.",$T30="Зор.н.різн."),OR($F30=4,$F30=6,$F30=8,$F30=10,$F30=16)),$AG30*Прайс!$F$18,IF(AND(,$T30="2-х кол.х.",OR($F30=4,$F30=6,$F30=8,$F30=10,$F30=16)),$AG30*Прайс!$F$19,IF(AND($T30="3-х кол.х.",OR($F30=4,$F30=6,$F30=8,$F30=10,$F30=16)),$AG30*Прайс!$F$20,IF(AND($T30="Фотодрук",OR($F30=4,$F30=6,$F30=8,$F30=10,$F30=16)),$AG30*Прайс!$F$21,0))))))))))))))</f>
        <v>0</v>
      </c>
      <c r="Y30" s="175">
        <f>IF(OR($C30=0,$C30=""),0,IF(AND(OR($T30="",$T30=0),$V30="Матове",$F30=19),$AG30*Прайс!$G$10,IF(AND(OR($T30="",$T30=0),$V30="Матове+акрил",$F30=19),$AG30*Прайс!#REF!,IF(AND(OR($T30="",$T30=0),$V30="Софт(TS)",$F30=19),$AG30*Прайс!$G$11,IF(AND(OR($T30="",$T30=0),$V30="Глянець",$F30=19),$AG30*Прайс!$G$12,IF(AND(OR($T30="Перл.ср.",$T30="Перл.зол."),$F30=19),$AG30*Прайс!$G$13,IF(AND($T30="Гума",$F30=19),$AG30*Прайс!$G$14,IF(AND($T30="Металік",$F30=19),$AG30*Прайс!$G$15,IF(AND($T30="Рідке скло",$F30=19),$AG30*Прайс!$G$16,IF(AND(OR($T30="Перли",$T30="Графіт"),$F30=19),$AG30*Прайс!$G$17,IF(AND(OR($T30="Зор.н.ср.",$T30="Зор.н.зол.",$T30="Зор.н.різн."),$F30=19),$AG30*Прайс!$G$18,IF(AND($T30="2-х кол.х.",$F30=19),$AG30*Прайс!$G$19,IF(AND($T30="3-х кол.х.",$F30=19),$AG30*Прайс!$G$20,IF(AND($T30="Фотодрук",$F30=19),$AG30*Прайс!$G$21,0))))))))))))))</f>
        <v>0</v>
      </c>
      <c r="Z30" s="175">
        <f>IF(OR($C30=0,$C30=""),0,IF(AND(OR($T30="",$T30=0),$W30="Матове",OR($F30=4,$F30=6,$F30=8,$F30=10,$F30=16,$F30=19)),$AG30*(Прайс!$F$10-500),IF(AND(OR($T30="",$T30=0),$W30="Матове+акрил",OR($F30=4,$F30=6,$F30=8,$F30=10,$F30=16,$F30=19)),$AG30*(Прайс!#REF!-500),IF(AND(OR($T30="",$T30=0),$W30="Софт(TS)",OR($F30=4,$F30=6,$F30=8,$F30=10,$F30=16,$F30=19)),$AG30*(Прайс!$F$11-500),IF(AND(OR($T30="",$T30=0),$W30="Глянець",OR($F30=4,$F30=6,$F30=8,$F30=10,$F30=16,$F30=19)),$AG30*(Прайс!$F$12-500),IF(AND(OR($T30="Перл.ср.",$T30="Перл.зол."),OR($F30=4,$F30=6,$F30=8,$F30=10,$F30=16,$F30=19)),$AG30*(Прайс!$F$13-500),IF(AND($T30="Гума",OR($F30=4,$F30=6,$F30=8,$F30=10,$F30=16,$F30=19)),$AG30*(Прайс!$F$14-500),IF(AND($T30="Металік",OR($F30=4,$F30=6,$F30=8,$F30=10,$F30=16,$F30=19)),$AG30*(Прайс!$F$15-500),IF(AND($T30="Рідке скло",OR($F30=4,$F30=6,$F30=8,$F30=10,$F30=16,$F30=19)),$AG30*(Прайс!$F$16-500),IF(AND(OR($T30="Перли",$T30="Графіт"),OR($F30=4,$F30=6,$F30=8,$F30=10,$F30=16,$F30=19)),$AG30*(Прайс!$F$17-500),IF(AND(OR($T30="Зор.н.ср.",$T30="Зор.н.зол.",$T30="Зор.н.різн."),OR($F30=4,$F30=6,$F30=8,$F30=10,$F30=16,$F30=19)),$AG30*(Прайс!$F$18-500),IF(AND(,$T30="2-х кол.х.",OR($F30=4,$F30=6,$F30=8,$F30=10,$F30=16,$F30=19)),$AG30*(Прайс!$F$19-500),IF(AND($T30="3-х кол.х.",OR($F30=4,$F30=6,$F30=8,$F30=10,$F30=16,$F30=19)),$AG30*(Прайс!$F$20-500),IF(AND($T30="Фотодрук",OR($F30=4,$F30=6,$F30=8,$F30=10,$F30=16,$F30=19)),$AG30*(Прайс!$F$21-500),0))))))))))))))</f>
        <v>0</v>
      </c>
      <c r="AA30" s="178">
        <f>IF(Бланк!AD48=0,0,Бланк!AD48*E30)</f>
        <v>0</v>
      </c>
      <c r="AB30" s="178">
        <f>Бланк!AE48</f>
        <v>0</v>
      </c>
      <c r="AC30" s="175">
        <f>IF(OR(AA$3=0,$AA30=""),0,$AA30*Прайс!$D$49)</f>
        <v>0</v>
      </c>
      <c r="AD30" s="178">
        <f>Бланк!AF48</f>
        <v>0</v>
      </c>
      <c r="AE30" s="178">
        <f>Бланк!AG48</f>
        <v>0</v>
      </c>
      <c r="AF30" s="178">
        <f>Бланк!AH48</f>
        <v>0</v>
      </c>
      <c r="AG30" s="123">
        <f>Бланк!$AI48</f>
        <v>0</v>
      </c>
      <c r="AH30" s="183"/>
      <c r="AI30" s="183"/>
      <c r="AJ30" s="183"/>
      <c r="AK30" s="183"/>
      <c r="AL30" s="184"/>
      <c r="AM30" s="184"/>
      <c r="AN30" s="184"/>
      <c r="AO30" s="184"/>
      <c r="AP30" s="185"/>
      <c r="AQ30" s="181"/>
    </row>
    <row r="31" spans="2:43" s="186" customFormat="1" ht="21" customHeight="1" x14ac:dyDescent="0.3">
      <c r="B31" s="182">
        <v>29</v>
      </c>
      <c r="C31" s="170" t="str">
        <f>IF(Бланк!$C49="","",Бланк!$C49/1000)</f>
        <v/>
      </c>
      <c r="D31" s="171" t="str">
        <f>IF(Бланк!$D49="","",Бланк!$D49/1000)</f>
        <v/>
      </c>
      <c r="E31" s="172" t="str">
        <f>IF(Бланк!E49="","",Бланк!E49)</f>
        <v/>
      </c>
      <c r="F31" s="172" t="str">
        <f>IF(Бланк!F49="","",Бланк!F49)</f>
        <v/>
      </c>
      <c r="G31" s="172" t="str">
        <f>IF(Бланк!H49="","",Бланк!H49)</f>
        <v/>
      </c>
      <c r="H31" s="172" t="str">
        <f>IF(Бланк!I49="","",Бланк!I49)</f>
        <v/>
      </c>
      <c r="I31" s="173" t="str">
        <f>IF(OR($C31="",$C31=0),"",IF($H31="Пряма з чвертю",(Прайс!$D$39+Прайс!$D$42)*Просчет!$E31,IF(Просчет!$H31="Пряма без чверті",Прайс!$D$39*Просчет!$E31,IF(AND(Просчет!$H31="Шпрос з чвертю",OR($C31&lt;1,$C31=1)),(Прайс!$D$40+Прайс!$D$43)*Просчет!$E31,IF(AND($H31="Шпрос з чвертю",$C31&gt;1),(Прайс!$F$40+Прайс!$D$43)*Просчет!$E31,IF(AND($H31="Шпрос без чверті",OR($C31&lt;1,$C31=1)),Прайс!$D$40*Просчет!$E31,IF(AND($H31="Шпрос без чверті",$C31&gt;1),Прайс!$F$40*Просчет!$E31,"")))))))</f>
        <v/>
      </c>
      <c r="J31" s="174" t="str">
        <f>IF(Бланк!$J49="","",Бланк!$J49/1000)</f>
        <v/>
      </c>
      <c r="K31" s="174">
        <f>Бланк!K49</f>
        <v>0</v>
      </c>
      <c r="L31" s="174">
        <f>Бланк!L49</f>
        <v>0</v>
      </c>
      <c r="M31" s="174">
        <f>Бланк!M49</f>
        <v>0</v>
      </c>
      <c r="N31" s="175">
        <f t="shared" si="0"/>
        <v>0</v>
      </c>
      <c r="O31" s="173">
        <f>IF($K31="","",IF(OR($K31="J № 1",$K31="J № 2",$K31="J № 2L",$K31="J № 2R",$K31="AJ № 2",$K31="AJ № 2L",$K31="AJ № 2R",$K31="U",$K31="V"),$N31*Прайс!$D$46,IF(OR($K31="AJ № 3R",$K31="AJ № 4R",$K31="AJ № 5R",$K31="AJ № 3L",$K31="AJ № 4L",$K31="AJ № 5L",$K31="AJ № 3",$K31="AJ № 4",$K31="AJ № 5",$K31="J № 3",$K31="J № 4",$K31="J № 5",$K31="J № 6",$K31="J № 7",$K31="L",$K31="AL"),Прайс!$D$47*$E31,IF(OR($K31="J № 3L",$K31="J № 3R",$K31="J № 4L",$K31="J № 4R",$K31="J № 5L",$K31="J № 5R"),$N31/2*Прайс!$D$47*$E31,IF($K31="45 град.",$N31*Прайс!$D$45,0)))))</f>
        <v>0</v>
      </c>
      <c r="P31" s="234">
        <f>IF($K31="",0,IF(OR($M31=$S31,$M31=0),0,$N31*Прайс!$D$62))</f>
        <v>0</v>
      </c>
      <c r="Q31" s="176">
        <f>Бланк!N49</f>
        <v>0</v>
      </c>
      <c r="R31" s="177">
        <f>Бланк!R49</f>
        <v>0</v>
      </c>
      <c r="S31" s="177">
        <f>Бланк!S49</f>
        <v>0</v>
      </c>
      <c r="T31" s="177" t="str">
        <f>IF(Бланк!T49="","",Бланк!T49)</f>
        <v/>
      </c>
      <c r="U31" s="177">
        <f>Бланк!U49</f>
        <v>0</v>
      </c>
      <c r="V31" s="177">
        <f>Бланк!AB49</f>
        <v>0</v>
      </c>
      <c r="W31" s="177">
        <f>Бланк!AC49</f>
        <v>0</v>
      </c>
      <c r="X31" s="175">
        <f>IF(OR($C31=0,$C31=""),0,IF(AND(OR($T31="",$T31=0),$V31="Матове",OR($F31=4,$F31=6,$F31=8,$F31=10,$F31=16)),$AG31*Прайс!$F$10,IF(AND(OR($T31="",$T31=0),$V31="Матове+акрил",OR($F31=4,$F31=6,$F31=8,$F31=10,$F31=16)),$AG31*Прайс!#REF!,IF(AND(OR($T31="",$T31=0),$V31="Софт(TS)",OR($F31=4,$F31=6,$F31=8,$F31=10,$F31=16)),$AG31*Прайс!$F$11,IF(AND(OR($T31="",$T31=0),$V31="Глянець",OR($F31=4,$F31=6,$F31=8,$F31=10,$F31=16)),$AG31*Прайс!$F$12,IF(AND(OR($T31="Перл.ср.",$T31="Перл.зол."),OR($F31=4,$F31=6,$F31=8,$F31=10,$F31=16)),$AG31*Прайс!$F$13,IF(AND($T31="Гума",OR($F31=4,$F31=6,$F31=8,$F31=10,$F31=16)),$AG31*Прайс!$F$14,IF(AND($T31="Металік",OR($F31=4,$F31=6,$F31=8,$F31=10,$F31=16)),$AG31*Прайс!$F$15,IF(AND($T31="Рідке скло",OR($F31=4,$F31=6,$F31=8,$F31=10,$F31=16)),$AG31*Прайс!$F$16,IF(AND(OR($T31="Перли",$T31="Графіт"),OR($F31=4,$F31=6,$F31=8,$F31=10,$F31=16)),$AG31*Прайс!$F$17,IF(AND(OR($T31="Зор.н.ср.",$T31="Зор.н.зол.",$T31="Зор.н.різн."),OR($F31=4,$F31=6,$F31=8,$F31=10,$F31=16)),$AG31*Прайс!$F$18,IF(AND(,$T31="2-х кол.х.",OR($F31=4,$F31=6,$F31=8,$F31=10,$F31=16)),$AG31*Прайс!$F$19,IF(AND($T31="3-х кол.х.",OR($F31=4,$F31=6,$F31=8,$F31=10,$F31=16)),$AG31*Прайс!$F$20,IF(AND($T31="Фотодрук",OR($F31=4,$F31=6,$F31=8,$F31=10,$F31=16)),$AG31*Прайс!$F$21,0))))))))))))))</f>
        <v>0</v>
      </c>
      <c r="Y31" s="175">
        <f>IF(OR($C31=0,$C31=""),0,IF(AND(OR($T31="",$T31=0),$V31="Матове",$F31=19),$AG31*Прайс!$G$10,IF(AND(OR($T31="",$T31=0),$V31="Матове+акрил",$F31=19),$AG31*Прайс!#REF!,IF(AND(OR($T31="",$T31=0),$V31="Софт(TS)",$F31=19),$AG31*Прайс!$G$11,IF(AND(OR($T31="",$T31=0),$V31="Глянець",$F31=19),$AG31*Прайс!$G$12,IF(AND(OR($T31="Перл.ср.",$T31="Перл.зол."),$F31=19),$AG31*Прайс!$G$13,IF(AND($T31="Гума",$F31=19),$AG31*Прайс!$G$14,IF(AND($T31="Металік",$F31=19),$AG31*Прайс!$G$15,IF(AND($T31="Рідке скло",$F31=19),$AG31*Прайс!$G$16,IF(AND(OR($T31="Перли",$T31="Графіт"),$F31=19),$AG31*Прайс!$G$17,IF(AND(OR($T31="Зор.н.ср.",$T31="Зор.н.зол.",$T31="Зор.н.різн."),$F31=19),$AG31*Прайс!$G$18,IF(AND($T31="2-х кол.х.",$F31=19),$AG31*Прайс!$G$19,IF(AND($T31="3-х кол.х.",$F31=19),$AG31*Прайс!$G$20,IF(AND($T31="Фотодрук",$F31=19),$AG31*Прайс!$G$21,0))))))))))))))</f>
        <v>0</v>
      </c>
      <c r="Z31" s="175">
        <f>IF(OR($C31=0,$C31=""),0,IF(AND(OR($T31="",$T31=0),$W31="Матове",OR($F31=4,$F31=6,$F31=8,$F31=10,$F31=16,$F31=19)),$AG31*(Прайс!$F$10-500),IF(AND(OR($T31="",$T31=0),$W31="Матове+акрил",OR($F31=4,$F31=6,$F31=8,$F31=10,$F31=16,$F31=19)),$AG31*(Прайс!#REF!-500),IF(AND(OR($T31="",$T31=0),$W31="Софт(TS)",OR($F31=4,$F31=6,$F31=8,$F31=10,$F31=16,$F31=19)),$AG31*(Прайс!$F$11-500),IF(AND(OR($T31="",$T31=0),$W31="Глянець",OR($F31=4,$F31=6,$F31=8,$F31=10,$F31=16,$F31=19)),$AG31*(Прайс!$F$12-500),IF(AND(OR($T31="Перл.ср.",$T31="Перл.зол."),OR($F31=4,$F31=6,$F31=8,$F31=10,$F31=16,$F31=19)),$AG31*(Прайс!$F$13-500),IF(AND($T31="Гума",OR($F31=4,$F31=6,$F31=8,$F31=10,$F31=16,$F31=19)),$AG31*(Прайс!$F$14-500),IF(AND($T31="Металік",OR($F31=4,$F31=6,$F31=8,$F31=10,$F31=16,$F31=19)),$AG31*(Прайс!$F$15-500),IF(AND($T31="Рідке скло",OR($F31=4,$F31=6,$F31=8,$F31=10,$F31=16,$F31=19)),$AG31*(Прайс!$F$16-500),IF(AND(OR($T31="Перли",$T31="Графіт"),OR($F31=4,$F31=6,$F31=8,$F31=10,$F31=16,$F31=19)),$AG31*(Прайс!$F$17-500),IF(AND(OR($T31="Зор.н.ср.",$T31="Зор.н.зол.",$T31="Зор.н.різн."),OR($F31=4,$F31=6,$F31=8,$F31=10,$F31=16,$F31=19)),$AG31*(Прайс!$F$18-500),IF(AND(,$T31="2-х кол.х.",OR($F31=4,$F31=6,$F31=8,$F31=10,$F31=16,$F31=19)),$AG31*(Прайс!$F$19-500),IF(AND($T31="3-х кол.х.",OR($F31=4,$F31=6,$F31=8,$F31=10,$F31=16,$F31=19)),$AG31*(Прайс!$F$20-500),IF(AND($T31="Фотодрук",OR($F31=4,$F31=6,$F31=8,$F31=10,$F31=16,$F31=19)),$AG31*(Прайс!$F$21-500),0))))))))))))))</f>
        <v>0</v>
      </c>
      <c r="AA31" s="178">
        <f>IF(Бланк!AD49=0,0,Бланк!AD49*E31)</f>
        <v>0</v>
      </c>
      <c r="AB31" s="178">
        <f>Бланк!AE49</f>
        <v>0</v>
      </c>
      <c r="AC31" s="175">
        <f>IF(OR(AA$3=0,$AA31=""),0,$AA31*Прайс!$D$49)</f>
        <v>0</v>
      </c>
      <c r="AD31" s="178">
        <f>Бланк!AF49</f>
        <v>0</v>
      </c>
      <c r="AE31" s="178">
        <f>Бланк!AG49</f>
        <v>0</v>
      </c>
      <c r="AF31" s="178">
        <f>Бланк!AH49</f>
        <v>0</v>
      </c>
      <c r="AG31" s="123">
        <f>Бланк!$AI49</f>
        <v>0</v>
      </c>
      <c r="AH31" s="183"/>
      <c r="AI31" s="183"/>
      <c r="AJ31" s="183"/>
      <c r="AK31" s="183"/>
      <c r="AL31" s="184"/>
      <c r="AM31" s="184"/>
      <c r="AN31" s="184"/>
      <c r="AO31" s="184"/>
      <c r="AP31" s="185"/>
      <c r="AQ31" s="181"/>
    </row>
    <row r="32" spans="2:43" s="186" customFormat="1" ht="21" customHeight="1" x14ac:dyDescent="0.3">
      <c r="B32" s="182">
        <v>30</v>
      </c>
      <c r="C32" s="170" t="str">
        <f>IF(Бланк!$C50="","",Бланк!$C50/1000)</f>
        <v/>
      </c>
      <c r="D32" s="171" t="str">
        <f>IF(Бланк!$D50="","",Бланк!$D50/1000)</f>
        <v/>
      </c>
      <c r="E32" s="172" t="str">
        <f>IF(Бланк!E50="","",Бланк!E50)</f>
        <v/>
      </c>
      <c r="F32" s="172" t="str">
        <f>IF(Бланк!F50="","",Бланк!F50)</f>
        <v/>
      </c>
      <c r="G32" s="172" t="str">
        <f>IF(Бланк!H50="","",Бланк!H50)</f>
        <v/>
      </c>
      <c r="H32" s="172" t="str">
        <f>IF(Бланк!I50="","",Бланк!I50)</f>
        <v/>
      </c>
      <c r="I32" s="173" t="str">
        <f>IF(OR($C32="",$C32=0),"",IF($H32="Пряма з чвертю",(Прайс!$D$39+Прайс!$D$42)*Просчет!$E32,IF(Просчет!$H32="Пряма без чверті",Прайс!$D$39*Просчет!$E32,IF(AND(Просчет!$H32="Шпрос з чвертю",OR($C32&lt;1,$C32=1)),(Прайс!$D$40+Прайс!$D$43)*Просчет!$E32,IF(AND($H32="Шпрос з чвертю",$C32&gt;1),(Прайс!$F$40+Прайс!$D$43)*Просчет!$E32,IF(AND($H32="Шпрос без чверті",OR($C32&lt;1,$C32=1)),Прайс!$D$40*Просчет!$E32,IF(AND($H32="Шпрос без чверті",$C32&gt;1),Прайс!$F$40*Просчет!$E32,"")))))))</f>
        <v/>
      </c>
      <c r="J32" s="174" t="str">
        <f>IF(Бланк!$J50="","",Бланк!$J50/1000)</f>
        <v/>
      </c>
      <c r="K32" s="174">
        <f>Бланк!K50</f>
        <v>0</v>
      </c>
      <c r="L32" s="174">
        <f>Бланк!L50</f>
        <v>0</v>
      </c>
      <c r="M32" s="174">
        <f>Бланк!M50</f>
        <v>0</v>
      </c>
      <c r="N32" s="175">
        <f t="shared" si="0"/>
        <v>0</v>
      </c>
      <c r="O32" s="173">
        <f>IF($K32="","",IF(OR($K32="J № 1",$K32="J № 2",$K32="J № 2L",$K32="J № 2R",$K32="AJ № 2",$K32="AJ № 2L",$K32="AJ № 2R",$K32="U",$K32="V"),$N32*Прайс!$D$46,IF(OR($K32="AJ № 3R",$K32="AJ № 4R",$K32="AJ № 5R",$K32="AJ № 3L",$K32="AJ № 4L",$K32="AJ № 5L",$K32="AJ № 3",$K32="AJ № 4",$K32="AJ № 5",$K32="J № 3",$K32="J № 4",$K32="J № 5",$K32="J № 6",$K32="J № 7",$K32="L",$K32="AL"),Прайс!$D$47*$E32,IF(OR($K32="J № 3L",$K32="J № 3R",$K32="J № 4L",$K32="J № 4R",$K32="J № 5L",$K32="J № 5R"),$N32/2*Прайс!$D$47*$E32,IF($K32="45 град.",$N32*Прайс!$D$45,0)))))</f>
        <v>0</v>
      </c>
      <c r="P32" s="234">
        <f>IF($K32="",0,IF(OR($M32=$S32,$M32=0),0,$N32*Прайс!$D$62))</f>
        <v>0</v>
      </c>
      <c r="Q32" s="176">
        <f>Бланк!N50</f>
        <v>0</v>
      </c>
      <c r="R32" s="177">
        <f>Бланк!R50</f>
        <v>0</v>
      </c>
      <c r="S32" s="177">
        <f>Бланк!S50</f>
        <v>0</v>
      </c>
      <c r="T32" s="177" t="str">
        <f>IF(Бланк!T50="","",Бланк!T50)</f>
        <v/>
      </c>
      <c r="U32" s="177">
        <f>Бланк!U50</f>
        <v>0</v>
      </c>
      <c r="V32" s="177">
        <f>Бланк!AB50</f>
        <v>0</v>
      </c>
      <c r="W32" s="177">
        <f>Бланк!AC50</f>
        <v>0</v>
      </c>
      <c r="X32" s="175">
        <f>IF(OR($C32=0,$C32=""),0,IF(AND(OR($T32="",$T32=0),$V32="Матове",OR($F32=4,$F32=6,$F32=8,$F32=10,$F32=16)),$AG32*Прайс!$F$10,IF(AND(OR($T32="",$T32=0),$V32="Матове+акрил",OR($F32=4,$F32=6,$F32=8,$F32=10,$F32=16)),$AG32*Прайс!#REF!,IF(AND(OR($T32="",$T32=0),$V32="Софт(TS)",OR($F32=4,$F32=6,$F32=8,$F32=10,$F32=16)),$AG32*Прайс!$F$11,IF(AND(OR($T32="",$T32=0),$V32="Глянець",OR($F32=4,$F32=6,$F32=8,$F32=10,$F32=16)),$AG32*Прайс!$F$12,IF(AND(OR($T32="Перл.ср.",$T32="Перл.зол."),OR($F32=4,$F32=6,$F32=8,$F32=10,$F32=16)),$AG32*Прайс!$F$13,IF(AND($T32="Гума",OR($F32=4,$F32=6,$F32=8,$F32=10,$F32=16)),$AG32*Прайс!$F$14,IF(AND($T32="Металік",OR($F32=4,$F32=6,$F32=8,$F32=10,$F32=16)),$AG32*Прайс!$F$15,IF(AND($T32="Рідке скло",OR($F32=4,$F32=6,$F32=8,$F32=10,$F32=16)),$AG32*Прайс!$F$16,IF(AND(OR($T32="Перли",$T32="Графіт"),OR($F32=4,$F32=6,$F32=8,$F32=10,$F32=16)),$AG32*Прайс!$F$17,IF(AND(OR($T32="Зор.н.ср.",$T32="Зор.н.зол.",$T32="Зор.н.різн."),OR($F32=4,$F32=6,$F32=8,$F32=10,$F32=16)),$AG32*Прайс!$F$18,IF(AND(,$T32="2-х кол.х.",OR($F32=4,$F32=6,$F32=8,$F32=10,$F32=16)),$AG32*Прайс!$F$19,IF(AND($T32="3-х кол.х.",OR($F32=4,$F32=6,$F32=8,$F32=10,$F32=16)),$AG32*Прайс!$F$20,IF(AND($T32="Фотодрук",OR($F32=4,$F32=6,$F32=8,$F32=10,$F32=16)),$AG32*Прайс!$F$21,0))))))))))))))</f>
        <v>0</v>
      </c>
      <c r="Y32" s="175">
        <f>IF(OR($C32=0,$C32=""),0,IF(AND(OR($T32="",$T32=0),$V32="Матове",$F32=19),$AG32*Прайс!$G$10,IF(AND(OR($T32="",$T32=0),$V32="Матове+акрил",$F32=19),$AG32*Прайс!#REF!,IF(AND(OR($T32="",$T32=0),$V32="Софт(TS)",$F32=19),$AG32*Прайс!$G$11,IF(AND(OR($T32="",$T32=0),$V32="Глянець",$F32=19),$AG32*Прайс!$G$12,IF(AND(OR($T32="Перл.ср.",$T32="Перл.зол."),$F32=19),$AG32*Прайс!$G$13,IF(AND($T32="Гума",$F32=19),$AG32*Прайс!$G$14,IF(AND($T32="Металік",$F32=19),$AG32*Прайс!$G$15,IF(AND($T32="Рідке скло",$F32=19),$AG32*Прайс!$G$16,IF(AND(OR($T32="Перли",$T32="Графіт"),$F32=19),$AG32*Прайс!$G$17,IF(AND(OR($T32="Зор.н.ср.",$T32="Зор.н.зол.",$T32="Зор.н.різн."),$F32=19),$AG32*Прайс!$G$18,IF(AND($T32="2-х кол.х.",$F32=19),$AG32*Прайс!$G$19,IF(AND($T32="3-х кол.х.",$F32=19),$AG32*Прайс!$G$20,IF(AND($T32="Фотодрук",$F32=19),$AG32*Прайс!$G$21,0))))))))))))))</f>
        <v>0</v>
      </c>
      <c r="Z32" s="175">
        <f>IF(OR($C32=0,$C32=""),0,IF(AND(OR($T32="",$T32=0),$W32="Матове",OR($F32=4,$F32=6,$F32=8,$F32=10,$F32=16,$F32=19)),$AG32*(Прайс!$F$10-500),IF(AND(OR($T32="",$T32=0),$W32="Матове+акрил",OR($F32=4,$F32=6,$F32=8,$F32=10,$F32=16,$F32=19)),$AG32*(Прайс!#REF!-500),IF(AND(OR($T32="",$T32=0),$W32="Софт(TS)",OR($F32=4,$F32=6,$F32=8,$F32=10,$F32=16,$F32=19)),$AG32*(Прайс!$F$11-500),IF(AND(OR($T32="",$T32=0),$W32="Глянець",OR($F32=4,$F32=6,$F32=8,$F32=10,$F32=16,$F32=19)),$AG32*(Прайс!$F$12-500),IF(AND(OR($T32="Перл.ср.",$T32="Перл.зол."),OR($F32=4,$F32=6,$F32=8,$F32=10,$F32=16,$F32=19)),$AG32*(Прайс!$F$13-500),IF(AND($T32="Гума",OR($F32=4,$F32=6,$F32=8,$F32=10,$F32=16,$F32=19)),$AG32*(Прайс!$F$14-500),IF(AND($T32="Металік",OR($F32=4,$F32=6,$F32=8,$F32=10,$F32=16,$F32=19)),$AG32*(Прайс!$F$15-500),IF(AND($T32="Рідке скло",OR($F32=4,$F32=6,$F32=8,$F32=10,$F32=16,$F32=19)),$AG32*(Прайс!$F$16-500),IF(AND(OR($T32="Перли",$T32="Графіт"),OR($F32=4,$F32=6,$F32=8,$F32=10,$F32=16,$F32=19)),$AG32*(Прайс!$F$17-500),IF(AND(OR($T32="Зор.н.ср.",$T32="Зор.н.зол.",$T32="Зор.н.різн."),OR($F32=4,$F32=6,$F32=8,$F32=10,$F32=16,$F32=19)),$AG32*(Прайс!$F$18-500),IF(AND(,$T32="2-х кол.х.",OR($F32=4,$F32=6,$F32=8,$F32=10,$F32=16,$F32=19)),$AG32*(Прайс!$F$19-500),IF(AND($T32="3-х кол.х.",OR($F32=4,$F32=6,$F32=8,$F32=10,$F32=16,$F32=19)),$AG32*(Прайс!$F$20-500),IF(AND($T32="Фотодрук",OR($F32=4,$F32=6,$F32=8,$F32=10,$F32=16,$F32=19)),$AG32*(Прайс!$F$21-500),0))))))))))))))</f>
        <v>0</v>
      </c>
      <c r="AA32" s="178">
        <f>IF(Бланк!AD50=0,0,Бланк!AD50*E32)</f>
        <v>0</v>
      </c>
      <c r="AB32" s="178">
        <f>Бланк!AE50</f>
        <v>0</v>
      </c>
      <c r="AC32" s="175">
        <f>IF(OR(AA$3=0,$AA32=""),0,$AA32*Прайс!$D$49)</f>
        <v>0</v>
      </c>
      <c r="AD32" s="178">
        <f>Бланк!AF50</f>
        <v>0</v>
      </c>
      <c r="AE32" s="178">
        <f>Бланк!AG50</f>
        <v>0</v>
      </c>
      <c r="AF32" s="178">
        <f>Бланк!AH50</f>
        <v>0</v>
      </c>
      <c r="AG32" s="123">
        <f>Бланк!$AI50</f>
        <v>0</v>
      </c>
      <c r="AH32" s="183"/>
      <c r="AI32" s="183"/>
      <c r="AJ32" s="183"/>
      <c r="AK32" s="183"/>
      <c r="AL32" s="184"/>
      <c r="AM32" s="184"/>
      <c r="AN32" s="184"/>
      <c r="AO32" s="184"/>
      <c r="AP32" s="185"/>
      <c r="AQ32" s="181"/>
    </row>
    <row r="33" spans="2:43" s="186" customFormat="1" ht="21" customHeight="1" x14ac:dyDescent="0.3">
      <c r="B33" s="182">
        <v>31</v>
      </c>
      <c r="C33" s="170" t="str">
        <f>IF(Бланк!$C51="","",Бланк!$C51/1000)</f>
        <v/>
      </c>
      <c r="D33" s="171" t="str">
        <f>IF(Бланк!$D51="","",Бланк!$D51/1000)</f>
        <v/>
      </c>
      <c r="E33" s="172" t="str">
        <f>IF(Бланк!E51="","",Бланк!E51)</f>
        <v/>
      </c>
      <c r="F33" s="172" t="str">
        <f>IF(Бланк!F51="","",Бланк!F51)</f>
        <v/>
      </c>
      <c r="G33" s="172" t="str">
        <f>IF(Бланк!H51="","",Бланк!H51)</f>
        <v/>
      </c>
      <c r="H33" s="172" t="str">
        <f>IF(Бланк!I51="","",Бланк!I51)</f>
        <v/>
      </c>
      <c r="I33" s="173" t="str">
        <f>IF(OR($C33="",$C33=0),"",IF($H33="Пряма з чвертю",(Прайс!$D$39+Прайс!$D$42)*Просчет!$E33,IF(Просчет!$H33="Пряма без чверті",Прайс!$D$39*Просчет!$E33,IF(AND(Просчет!$H33="Шпрос з чвертю",OR($C33&lt;1,$C33=1)),(Прайс!$D$40+Прайс!$D$43)*Просчет!$E33,IF(AND($H33="Шпрос з чвертю",$C33&gt;1),(Прайс!$F$40+Прайс!$D$43)*Просчет!$E33,IF(AND($H33="Шпрос без чверті",OR($C33&lt;1,$C33=1)),Прайс!$D$40*Просчет!$E33,IF(AND($H33="Шпрос без чверті",$C33&gt;1),Прайс!$F$40*Просчет!$E33,"")))))))</f>
        <v/>
      </c>
      <c r="J33" s="174" t="str">
        <f>IF(Бланк!$J51="","",Бланк!$J51/1000)</f>
        <v/>
      </c>
      <c r="K33" s="174">
        <f>Бланк!K51</f>
        <v>0</v>
      </c>
      <c r="L33" s="174">
        <f>Бланк!L51</f>
        <v>0</v>
      </c>
      <c r="M33" s="174">
        <f>Бланк!M51</f>
        <v>0</v>
      </c>
      <c r="N33" s="175">
        <f t="shared" si="0"/>
        <v>0</v>
      </c>
      <c r="O33" s="173">
        <f>IF($K33="","",IF(OR($K33="J № 1",$K33="J № 2",$K33="J № 2L",$K33="J № 2R",$K33="AJ № 2",$K33="AJ № 2L",$K33="AJ № 2R",$K33="U",$K33="V"),$N33*Прайс!$D$46,IF(OR($K33="AJ № 3R",$K33="AJ № 4R",$K33="AJ № 5R",$K33="AJ № 3L",$K33="AJ № 4L",$K33="AJ № 5L",$K33="AJ № 3",$K33="AJ № 4",$K33="AJ № 5",$K33="J № 3",$K33="J № 4",$K33="J № 5",$K33="J № 6",$K33="J № 7",$K33="L",$K33="AL"),Прайс!$D$47*$E33,IF(OR($K33="J № 3L",$K33="J № 3R",$K33="J № 4L",$K33="J № 4R",$K33="J № 5L",$K33="J № 5R"),$N33/2*Прайс!$D$47*$E33,IF($K33="45 град.",$N33*Прайс!$D$45,0)))))</f>
        <v>0</v>
      </c>
      <c r="P33" s="234">
        <f>IF($K33="",0,IF(OR($M33=$S33,$M33=0),0,$N33*Прайс!$D$62))</f>
        <v>0</v>
      </c>
      <c r="Q33" s="176">
        <f>Бланк!N51</f>
        <v>0</v>
      </c>
      <c r="R33" s="177">
        <f>Бланк!R51</f>
        <v>0</v>
      </c>
      <c r="S33" s="177">
        <f>Бланк!S51</f>
        <v>0</v>
      </c>
      <c r="T33" s="177" t="str">
        <f>IF(Бланк!T51="","",Бланк!T51)</f>
        <v/>
      </c>
      <c r="U33" s="177">
        <f>Бланк!U51</f>
        <v>0</v>
      </c>
      <c r="V33" s="177">
        <f>Бланк!AB51</f>
        <v>0</v>
      </c>
      <c r="W33" s="177">
        <f>Бланк!AC51</f>
        <v>0</v>
      </c>
      <c r="X33" s="175">
        <f>IF(OR($C33=0,$C33=""),0,IF(AND(OR($T33="",$T33=0),$V33="Матове",OR($F33=4,$F33=6,$F33=8,$F33=10,$F33=16)),$AG33*Прайс!$F$10,IF(AND(OR($T33="",$T33=0),$V33="Матове+акрил",OR($F33=4,$F33=6,$F33=8,$F33=10,$F33=16)),$AG33*Прайс!#REF!,IF(AND(OR($T33="",$T33=0),$V33="Софт(TS)",OR($F33=4,$F33=6,$F33=8,$F33=10,$F33=16)),$AG33*Прайс!$F$11,IF(AND(OR($T33="",$T33=0),$V33="Глянець",OR($F33=4,$F33=6,$F33=8,$F33=10,$F33=16)),$AG33*Прайс!$F$12,IF(AND(OR($T33="Перл.ср.",$T33="Перл.зол."),OR($F33=4,$F33=6,$F33=8,$F33=10,$F33=16)),$AG33*Прайс!$F$13,IF(AND($T33="Гума",OR($F33=4,$F33=6,$F33=8,$F33=10,$F33=16)),$AG33*Прайс!$F$14,IF(AND($T33="Металік",OR($F33=4,$F33=6,$F33=8,$F33=10,$F33=16)),$AG33*Прайс!$F$15,IF(AND($T33="Рідке скло",OR($F33=4,$F33=6,$F33=8,$F33=10,$F33=16)),$AG33*Прайс!$F$16,IF(AND(OR($T33="Перли",$T33="Графіт"),OR($F33=4,$F33=6,$F33=8,$F33=10,$F33=16)),$AG33*Прайс!$F$17,IF(AND(OR($T33="Зор.н.ср.",$T33="Зор.н.зол.",$T33="Зор.н.різн."),OR($F33=4,$F33=6,$F33=8,$F33=10,$F33=16)),$AG33*Прайс!$F$18,IF(AND(,$T33="2-х кол.х.",OR($F33=4,$F33=6,$F33=8,$F33=10,$F33=16)),$AG33*Прайс!$F$19,IF(AND($T33="3-х кол.х.",OR($F33=4,$F33=6,$F33=8,$F33=10,$F33=16)),$AG33*Прайс!$F$20,IF(AND($T33="Фотодрук",OR($F33=4,$F33=6,$F33=8,$F33=10,$F33=16)),$AG33*Прайс!$F$21,0))))))))))))))</f>
        <v>0</v>
      </c>
      <c r="Y33" s="175">
        <f>IF(OR($C33=0,$C33=""),0,IF(AND(OR($T33="",$T33=0),$V33="Матове",$F33=19),$AG33*Прайс!$G$10,IF(AND(OR($T33="",$T33=0),$V33="Матове+акрил",$F33=19),$AG33*Прайс!#REF!,IF(AND(OR($T33="",$T33=0),$V33="Софт(TS)",$F33=19),$AG33*Прайс!$G$11,IF(AND(OR($T33="",$T33=0),$V33="Глянець",$F33=19),$AG33*Прайс!$G$12,IF(AND(OR($T33="Перл.ср.",$T33="Перл.зол."),$F33=19),$AG33*Прайс!$G$13,IF(AND($T33="Гума",$F33=19),$AG33*Прайс!$G$14,IF(AND($T33="Металік",$F33=19),$AG33*Прайс!$G$15,IF(AND($T33="Рідке скло",$F33=19),$AG33*Прайс!$G$16,IF(AND(OR($T33="Перли",$T33="Графіт"),$F33=19),$AG33*Прайс!$G$17,IF(AND(OR($T33="Зор.н.ср.",$T33="Зор.н.зол.",$T33="Зор.н.різн."),$F33=19),$AG33*Прайс!$G$18,IF(AND($T33="2-х кол.х.",$F33=19),$AG33*Прайс!$G$19,IF(AND($T33="3-х кол.х.",$F33=19),$AG33*Прайс!$G$20,IF(AND($T33="Фотодрук",$F33=19),$AG33*Прайс!$G$21,0))))))))))))))</f>
        <v>0</v>
      </c>
      <c r="Z33" s="175">
        <f>IF(OR($C33=0,$C33=""),0,IF(AND(OR($T33="",$T33=0),$W33="Матове",OR($F33=4,$F33=6,$F33=8,$F33=10,$F33=16,$F33=19)),$AG33*(Прайс!$F$10-500),IF(AND(OR($T33="",$T33=0),$W33="Матове+акрил",OR($F33=4,$F33=6,$F33=8,$F33=10,$F33=16,$F33=19)),$AG33*(Прайс!#REF!-500),IF(AND(OR($T33="",$T33=0),$W33="Софт(TS)",OR($F33=4,$F33=6,$F33=8,$F33=10,$F33=16,$F33=19)),$AG33*(Прайс!$F$11-500),IF(AND(OR($T33="",$T33=0),$W33="Глянець",OR($F33=4,$F33=6,$F33=8,$F33=10,$F33=16,$F33=19)),$AG33*(Прайс!$F$12-500),IF(AND(OR($T33="Перл.ср.",$T33="Перл.зол."),OR($F33=4,$F33=6,$F33=8,$F33=10,$F33=16,$F33=19)),$AG33*(Прайс!$F$13-500),IF(AND($T33="Гума",OR($F33=4,$F33=6,$F33=8,$F33=10,$F33=16,$F33=19)),$AG33*(Прайс!$F$14-500),IF(AND($T33="Металік",OR($F33=4,$F33=6,$F33=8,$F33=10,$F33=16,$F33=19)),$AG33*(Прайс!$F$15-500),IF(AND($T33="Рідке скло",OR($F33=4,$F33=6,$F33=8,$F33=10,$F33=16,$F33=19)),$AG33*(Прайс!$F$16-500),IF(AND(OR($T33="Перли",$T33="Графіт"),OR($F33=4,$F33=6,$F33=8,$F33=10,$F33=16,$F33=19)),$AG33*(Прайс!$F$17-500),IF(AND(OR($T33="Зор.н.ср.",$T33="Зор.н.зол.",$T33="Зор.н.різн."),OR($F33=4,$F33=6,$F33=8,$F33=10,$F33=16,$F33=19)),$AG33*(Прайс!$F$18-500),IF(AND(,$T33="2-х кол.х.",OR($F33=4,$F33=6,$F33=8,$F33=10,$F33=16,$F33=19)),$AG33*(Прайс!$F$19-500),IF(AND($T33="3-х кол.х.",OR($F33=4,$F33=6,$F33=8,$F33=10,$F33=16,$F33=19)),$AG33*(Прайс!$F$20-500),IF(AND($T33="Фотодрук",OR($F33=4,$F33=6,$F33=8,$F33=10,$F33=16,$F33=19)),$AG33*(Прайс!$F$21-500),0))))))))))))))</f>
        <v>0</v>
      </c>
      <c r="AA33" s="178">
        <f>IF(Бланк!AD51=0,0,Бланк!AD51*E33)</f>
        <v>0</v>
      </c>
      <c r="AB33" s="178">
        <f>Бланк!AE51</f>
        <v>0</v>
      </c>
      <c r="AC33" s="175">
        <f>IF(OR(AA$3=0,$AA33=""),0,$AA33*Прайс!$D$49)</f>
        <v>0</v>
      </c>
      <c r="AD33" s="178">
        <f>Бланк!AF51</f>
        <v>0</v>
      </c>
      <c r="AE33" s="178">
        <f>Бланк!AG51</f>
        <v>0</v>
      </c>
      <c r="AF33" s="178">
        <f>Бланк!AH51</f>
        <v>0</v>
      </c>
      <c r="AG33" s="123">
        <f>Бланк!$AI51</f>
        <v>0</v>
      </c>
      <c r="AH33" s="183"/>
      <c r="AI33" s="183"/>
      <c r="AJ33" s="183"/>
      <c r="AK33" s="183"/>
      <c r="AL33" s="184"/>
      <c r="AM33" s="184"/>
      <c r="AN33" s="184"/>
      <c r="AO33" s="184"/>
      <c r="AP33" s="185"/>
      <c r="AQ33" s="181"/>
    </row>
    <row r="34" spans="2:43" s="186" customFormat="1" ht="21" customHeight="1" x14ac:dyDescent="0.3">
      <c r="B34" s="182">
        <v>32</v>
      </c>
      <c r="C34" s="170" t="str">
        <f>IF(Бланк!$C52="","",Бланк!$C52/1000)</f>
        <v/>
      </c>
      <c r="D34" s="171" t="str">
        <f>IF(Бланк!$D52="","",Бланк!$D52/1000)</f>
        <v/>
      </c>
      <c r="E34" s="172" t="str">
        <f>IF(Бланк!E52="","",Бланк!E52)</f>
        <v/>
      </c>
      <c r="F34" s="172" t="str">
        <f>IF(Бланк!F52="","",Бланк!F52)</f>
        <v/>
      </c>
      <c r="G34" s="172" t="str">
        <f>IF(Бланк!H52="","",Бланк!H52)</f>
        <v/>
      </c>
      <c r="H34" s="172" t="str">
        <f>IF(Бланк!I52="","",Бланк!I52)</f>
        <v/>
      </c>
      <c r="I34" s="173" t="str">
        <f>IF(OR($C34="",$C34=0),"",IF($H34="Пряма з чвертю",(Прайс!$D$39+Прайс!$D$42)*Просчет!$E34,IF(Просчет!$H34="Пряма без чверті",Прайс!$D$39*Просчет!$E34,IF(AND(Просчет!$H34="Шпрос з чвертю",OR($C34&lt;1,$C34=1)),(Прайс!$D$40+Прайс!$D$43)*Просчет!$E34,IF(AND($H34="Шпрос з чвертю",$C34&gt;1),(Прайс!$F$40+Прайс!$D$43)*Просчет!$E34,IF(AND($H34="Шпрос без чверті",OR($C34&lt;1,$C34=1)),Прайс!$D$40*Просчет!$E34,IF(AND($H34="Шпрос без чверті",$C34&gt;1),Прайс!$F$40*Просчет!$E34,"")))))))</f>
        <v/>
      </c>
      <c r="J34" s="174" t="str">
        <f>IF(Бланк!$J52="","",Бланк!$J52/1000)</f>
        <v/>
      </c>
      <c r="K34" s="174">
        <f>Бланк!K52</f>
        <v>0</v>
      </c>
      <c r="L34" s="174">
        <f>Бланк!L52</f>
        <v>0</v>
      </c>
      <c r="M34" s="174">
        <f>Бланк!M52</f>
        <v>0</v>
      </c>
      <c r="N34" s="175">
        <f t="shared" si="0"/>
        <v>0</v>
      </c>
      <c r="O34" s="173">
        <f>IF($K34="","",IF(OR($K34="J № 1",$K34="J № 2",$K34="J № 2L",$K34="J № 2R",$K34="AJ № 2",$K34="AJ № 2L",$K34="AJ № 2R",$K34="U",$K34="V"),$N34*Прайс!$D$46,IF(OR($K34="AJ № 3R",$K34="AJ № 4R",$K34="AJ № 5R",$K34="AJ № 3L",$K34="AJ № 4L",$K34="AJ № 5L",$K34="AJ № 3",$K34="AJ № 4",$K34="AJ № 5",$K34="J № 3",$K34="J № 4",$K34="J № 5",$K34="J № 6",$K34="J № 7",$K34="L",$K34="AL"),Прайс!$D$47*$E34,IF(OR($K34="J № 3L",$K34="J № 3R",$K34="J № 4L",$K34="J № 4R",$K34="J № 5L",$K34="J № 5R"),$N34/2*Прайс!$D$47*$E34,IF($K34="45 град.",$N34*Прайс!$D$45,0)))))</f>
        <v>0</v>
      </c>
      <c r="P34" s="234">
        <f>IF($K34="",0,IF(OR($M34=$S34,$M34=0),0,$N34*Прайс!$D$62))</f>
        <v>0</v>
      </c>
      <c r="Q34" s="176">
        <f>Бланк!N52</f>
        <v>0</v>
      </c>
      <c r="R34" s="177">
        <f>Бланк!R52</f>
        <v>0</v>
      </c>
      <c r="S34" s="177">
        <f>Бланк!S52</f>
        <v>0</v>
      </c>
      <c r="T34" s="177" t="str">
        <f>IF(Бланк!T52="","",Бланк!T52)</f>
        <v/>
      </c>
      <c r="U34" s="177">
        <f>Бланк!U52</f>
        <v>0</v>
      </c>
      <c r="V34" s="177">
        <f>Бланк!AB52</f>
        <v>0</v>
      </c>
      <c r="W34" s="177">
        <f>Бланк!AC52</f>
        <v>0</v>
      </c>
      <c r="X34" s="175">
        <f>IF(OR($C34=0,$C34=""),0,IF(AND(OR($T34="",$T34=0),$V34="Матове",OR($F34=4,$F34=6,$F34=8,$F34=10,$F34=16)),$AG34*Прайс!$F$10,IF(AND(OR($T34="",$T34=0),$V34="Матове+акрил",OR($F34=4,$F34=6,$F34=8,$F34=10,$F34=16)),$AG34*Прайс!#REF!,IF(AND(OR($T34="",$T34=0),$V34="Софт(TS)",OR($F34=4,$F34=6,$F34=8,$F34=10,$F34=16)),$AG34*Прайс!$F$11,IF(AND(OR($T34="",$T34=0),$V34="Глянець",OR($F34=4,$F34=6,$F34=8,$F34=10,$F34=16)),$AG34*Прайс!$F$12,IF(AND(OR($T34="Перл.ср.",$T34="Перл.зол."),OR($F34=4,$F34=6,$F34=8,$F34=10,$F34=16)),$AG34*Прайс!$F$13,IF(AND($T34="Гума",OR($F34=4,$F34=6,$F34=8,$F34=10,$F34=16)),$AG34*Прайс!$F$14,IF(AND($T34="Металік",OR($F34=4,$F34=6,$F34=8,$F34=10,$F34=16)),$AG34*Прайс!$F$15,IF(AND($T34="Рідке скло",OR($F34=4,$F34=6,$F34=8,$F34=10,$F34=16)),$AG34*Прайс!$F$16,IF(AND(OR($T34="Перли",$T34="Графіт"),OR($F34=4,$F34=6,$F34=8,$F34=10,$F34=16)),$AG34*Прайс!$F$17,IF(AND(OR($T34="Зор.н.ср.",$T34="Зор.н.зол.",$T34="Зор.н.різн."),OR($F34=4,$F34=6,$F34=8,$F34=10,$F34=16)),$AG34*Прайс!$F$18,IF(AND(,$T34="2-х кол.х.",OR($F34=4,$F34=6,$F34=8,$F34=10,$F34=16)),$AG34*Прайс!$F$19,IF(AND($T34="3-х кол.х.",OR($F34=4,$F34=6,$F34=8,$F34=10,$F34=16)),$AG34*Прайс!$F$20,IF(AND($T34="Фотодрук",OR($F34=4,$F34=6,$F34=8,$F34=10,$F34=16)),$AG34*Прайс!$F$21,0))))))))))))))</f>
        <v>0</v>
      </c>
      <c r="Y34" s="175">
        <f>IF(OR($C34=0,$C34=""),0,IF(AND(OR($T34="",$T34=0),$V34="Матове",$F34=19),$AG34*Прайс!$G$10,IF(AND(OR($T34="",$T34=0),$V34="Матове+акрил",$F34=19),$AG34*Прайс!#REF!,IF(AND(OR($T34="",$T34=0),$V34="Софт(TS)",$F34=19),$AG34*Прайс!$G$11,IF(AND(OR($T34="",$T34=0),$V34="Глянець",$F34=19),$AG34*Прайс!$G$12,IF(AND(OR($T34="Перл.ср.",$T34="Перл.зол."),$F34=19),$AG34*Прайс!$G$13,IF(AND($T34="Гума",$F34=19),$AG34*Прайс!$G$14,IF(AND($T34="Металік",$F34=19),$AG34*Прайс!$G$15,IF(AND($T34="Рідке скло",$F34=19),$AG34*Прайс!$G$16,IF(AND(OR($T34="Перли",$T34="Графіт"),$F34=19),$AG34*Прайс!$G$17,IF(AND(OR($T34="Зор.н.ср.",$T34="Зор.н.зол.",$T34="Зор.н.різн."),$F34=19),$AG34*Прайс!$G$18,IF(AND($T34="2-х кол.х.",$F34=19),$AG34*Прайс!$G$19,IF(AND($T34="3-х кол.х.",$F34=19),$AG34*Прайс!$G$20,IF(AND($T34="Фотодрук",$F34=19),$AG34*Прайс!$G$21,0))))))))))))))</f>
        <v>0</v>
      </c>
      <c r="Z34" s="175">
        <f>IF(OR($C34=0,$C34=""),0,IF(AND(OR($T34="",$T34=0),$W34="Матове",OR($F34=4,$F34=6,$F34=8,$F34=10,$F34=16,$F34=19)),$AG34*(Прайс!$F$10-500),IF(AND(OR($T34="",$T34=0),$W34="Матове+акрил",OR($F34=4,$F34=6,$F34=8,$F34=10,$F34=16,$F34=19)),$AG34*(Прайс!#REF!-500),IF(AND(OR($T34="",$T34=0),$W34="Софт(TS)",OR($F34=4,$F34=6,$F34=8,$F34=10,$F34=16,$F34=19)),$AG34*(Прайс!$F$11-500),IF(AND(OR($T34="",$T34=0),$W34="Глянець",OR($F34=4,$F34=6,$F34=8,$F34=10,$F34=16,$F34=19)),$AG34*(Прайс!$F$12-500),IF(AND(OR($T34="Перл.ср.",$T34="Перл.зол."),OR($F34=4,$F34=6,$F34=8,$F34=10,$F34=16,$F34=19)),$AG34*(Прайс!$F$13-500),IF(AND($T34="Гума",OR($F34=4,$F34=6,$F34=8,$F34=10,$F34=16,$F34=19)),$AG34*(Прайс!$F$14-500),IF(AND($T34="Металік",OR($F34=4,$F34=6,$F34=8,$F34=10,$F34=16,$F34=19)),$AG34*(Прайс!$F$15-500),IF(AND($T34="Рідке скло",OR($F34=4,$F34=6,$F34=8,$F34=10,$F34=16,$F34=19)),$AG34*(Прайс!$F$16-500),IF(AND(OR($T34="Перли",$T34="Графіт"),OR($F34=4,$F34=6,$F34=8,$F34=10,$F34=16,$F34=19)),$AG34*(Прайс!$F$17-500),IF(AND(OR($T34="Зор.н.ср.",$T34="Зор.н.зол.",$T34="Зор.н.різн."),OR($F34=4,$F34=6,$F34=8,$F34=10,$F34=16,$F34=19)),$AG34*(Прайс!$F$18-500),IF(AND(,$T34="2-х кол.х.",OR($F34=4,$F34=6,$F34=8,$F34=10,$F34=16,$F34=19)),$AG34*(Прайс!$F$19-500),IF(AND($T34="3-х кол.х.",OR($F34=4,$F34=6,$F34=8,$F34=10,$F34=16,$F34=19)),$AG34*(Прайс!$F$20-500),IF(AND($T34="Фотодрук",OR($F34=4,$F34=6,$F34=8,$F34=10,$F34=16,$F34=19)),$AG34*(Прайс!$F$21-500),0))))))))))))))</f>
        <v>0</v>
      </c>
      <c r="AA34" s="178">
        <f>IF(Бланк!AD52=0,0,Бланк!AD52*E34)</f>
        <v>0</v>
      </c>
      <c r="AB34" s="178">
        <f>Бланк!AE52</f>
        <v>0</v>
      </c>
      <c r="AC34" s="175">
        <f>IF(OR(AA$3=0,$AA34=""),0,$AA34*Прайс!$D$49)</f>
        <v>0</v>
      </c>
      <c r="AD34" s="178">
        <f>Бланк!AF52</f>
        <v>0</v>
      </c>
      <c r="AE34" s="178">
        <f>Бланк!AG52</f>
        <v>0</v>
      </c>
      <c r="AF34" s="178">
        <f>Бланк!AH52</f>
        <v>0</v>
      </c>
      <c r="AG34" s="123">
        <f>Бланк!$AI52</f>
        <v>0</v>
      </c>
      <c r="AH34" s="183"/>
      <c r="AI34" s="183"/>
      <c r="AJ34" s="183"/>
      <c r="AK34" s="183"/>
      <c r="AL34" s="184"/>
      <c r="AM34" s="184"/>
      <c r="AN34" s="184"/>
      <c r="AO34" s="184"/>
      <c r="AP34" s="185"/>
      <c r="AQ34" s="181"/>
    </row>
    <row r="35" spans="2:43" s="186" customFormat="1" ht="21" customHeight="1" x14ac:dyDescent="0.3">
      <c r="B35" s="182">
        <v>33</v>
      </c>
      <c r="C35" s="170" t="str">
        <f>IF(Бланк!$C53="","",Бланк!$C53/1000)</f>
        <v/>
      </c>
      <c r="D35" s="171" t="str">
        <f>IF(Бланк!$D53="","",Бланк!$D53/1000)</f>
        <v/>
      </c>
      <c r="E35" s="172" t="str">
        <f>IF(Бланк!E53="","",Бланк!E53)</f>
        <v/>
      </c>
      <c r="F35" s="172" t="str">
        <f>IF(Бланк!F53="","",Бланк!F53)</f>
        <v/>
      </c>
      <c r="G35" s="172" t="str">
        <f>IF(Бланк!H53="","",Бланк!H53)</f>
        <v/>
      </c>
      <c r="H35" s="172" t="str">
        <f>IF(Бланк!I53="","",Бланк!I53)</f>
        <v/>
      </c>
      <c r="I35" s="173" t="str">
        <f>IF(OR($C35="",$C35=0),"",IF($H35="Пряма з чвертю",(Прайс!$D$39+Прайс!$D$42)*Просчет!$E35,IF(Просчет!$H35="Пряма без чверті",Прайс!$D$39*Просчет!$E35,IF(AND(Просчет!$H35="Шпрос з чвертю",OR($C35&lt;1,$C35=1)),(Прайс!$D$40+Прайс!$D$43)*Просчет!$E35,IF(AND($H35="Шпрос з чвертю",$C35&gt;1),(Прайс!$F$40+Прайс!$D$43)*Просчет!$E35,IF(AND($H35="Шпрос без чверті",OR($C35&lt;1,$C35=1)),Прайс!$D$40*Просчет!$E35,IF(AND($H35="Шпрос без чверті",$C35&gt;1),Прайс!$F$40*Просчет!$E35,"")))))))</f>
        <v/>
      </c>
      <c r="J35" s="174" t="str">
        <f>IF(Бланк!$J53="","",Бланк!$J53/1000)</f>
        <v/>
      </c>
      <c r="K35" s="174">
        <f>Бланк!K53</f>
        <v>0</v>
      </c>
      <c r="L35" s="174">
        <f>Бланк!L53</f>
        <v>0</v>
      </c>
      <c r="M35" s="174">
        <f>Бланк!M53</f>
        <v>0</v>
      </c>
      <c r="N35" s="175">
        <f t="shared" si="0"/>
        <v>0</v>
      </c>
      <c r="O35" s="173">
        <f>IF($K35="","",IF(OR($K35="J № 1",$K35="J № 2",$K35="J № 2L",$K35="J № 2R",$K35="AJ № 2",$K35="AJ № 2L",$K35="AJ № 2R",$K35="U",$K35="V"),$N35*Прайс!$D$46,IF(OR($K35="AJ № 3R",$K35="AJ № 4R",$K35="AJ № 5R",$K35="AJ № 3L",$K35="AJ № 4L",$K35="AJ № 5L",$K35="AJ № 3",$K35="AJ № 4",$K35="AJ № 5",$K35="J № 3",$K35="J № 4",$K35="J № 5",$K35="J № 6",$K35="J № 7",$K35="L",$K35="AL"),Прайс!$D$47*$E35,IF(OR($K35="J № 3L",$K35="J № 3R",$K35="J № 4L",$K35="J № 4R",$K35="J № 5L",$K35="J № 5R"),$N35/2*Прайс!$D$47*$E35,IF($K35="45 град.",$N35*Прайс!$D$45,0)))))</f>
        <v>0</v>
      </c>
      <c r="P35" s="234">
        <f>IF($K35="",0,IF(OR($M35=$S35,$M35=0),0,$N35*Прайс!$D$62))</f>
        <v>0</v>
      </c>
      <c r="Q35" s="176">
        <f>Бланк!N53</f>
        <v>0</v>
      </c>
      <c r="R35" s="177">
        <f>Бланк!R53</f>
        <v>0</v>
      </c>
      <c r="S35" s="177">
        <f>Бланк!S53</f>
        <v>0</v>
      </c>
      <c r="T35" s="177" t="str">
        <f>IF(Бланк!T53="","",Бланк!T53)</f>
        <v/>
      </c>
      <c r="U35" s="177">
        <f>Бланк!U53</f>
        <v>0</v>
      </c>
      <c r="V35" s="177">
        <f>Бланк!AB53</f>
        <v>0</v>
      </c>
      <c r="W35" s="177">
        <f>Бланк!AC53</f>
        <v>0</v>
      </c>
      <c r="X35" s="175">
        <f>IF(OR($C35=0,$C35=""),0,IF(AND(OR($T35="",$T35=0),$V35="Матове",OR($F35=4,$F35=6,$F35=8,$F35=10,$F35=16)),$AG35*Прайс!$F$10,IF(AND(OR($T35="",$T35=0),$V35="Матове+акрил",OR($F35=4,$F35=6,$F35=8,$F35=10,$F35=16)),$AG35*Прайс!#REF!,IF(AND(OR($T35="",$T35=0),$V35="Софт(TS)",OR($F35=4,$F35=6,$F35=8,$F35=10,$F35=16)),$AG35*Прайс!$F$11,IF(AND(OR($T35="",$T35=0),$V35="Глянець",OR($F35=4,$F35=6,$F35=8,$F35=10,$F35=16)),$AG35*Прайс!$F$12,IF(AND(OR($T35="Перл.ср.",$T35="Перл.зол."),OR($F35=4,$F35=6,$F35=8,$F35=10,$F35=16)),$AG35*Прайс!$F$13,IF(AND($T35="Гума",OR($F35=4,$F35=6,$F35=8,$F35=10,$F35=16)),$AG35*Прайс!$F$14,IF(AND($T35="Металік",OR($F35=4,$F35=6,$F35=8,$F35=10,$F35=16)),$AG35*Прайс!$F$15,IF(AND($T35="Рідке скло",OR($F35=4,$F35=6,$F35=8,$F35=10,$F35=16)),$AG35*Прайс!$F$16,IF(AND(OR($T35="Перли",$T35="Графіт"),OR($F35=4,$F35=6,$F35=8,$F35=10,$F35=16)),$AG35*Прайс!$F$17,IF(AND(OR($T35="Зор.н.ср.",$T35="Зор.н.зол.",$T35="Зор.н.різн."),OR($F35=4,$F35=6,$F35=8,$F35=10,$F35=16)),$AG35*Прайс!$F$18,IF(AND(,$T35="2-х кол.х.",OR($F35=4,$F35=6,$F35=8,$F35=10,$F35=16)),$AG35*Прайс!$F$19,IF(AND($T35="3-х кол.х.",OR($F35=4,$F35=6,$F35=8,$F35=10,$F35=16)),$AG35*Прайс!$F$20,IF(AND($T35="Фотодрук",OR($F35=4,$F35=6,$F35=8,$F35=10,$F35=16)),$AG35*Прайс!$F$21,0))))))))))))))</f>
        <v>0</v>
      </c>
      <c r="Y35" s="175">
        <f>IF(OR($C35=0,$C35=""),0,IF(AND(OR($T35="",$T35=0),$V35="Матове",$F35=19),$AG35*Прайс!$G$10,IF(AND(OR($T35="",$T35=0),$V35="Матове+акрил",$F35=19),$AG35*Прайс!#REF!,IF(AND(OR($T35="",$T35=0),$V35="Софт(TS)",$F35=19),$AG35*Прайс!$G$11,IF(AND(OR($T35="",$T35=0),$V35="Глянець",$F35=19),$AG35*Прайс!$G$12,IF(AND(OR($T35="Перл.ср.",$T35="Перл.зол."),$F35=19),$AG35*Прайс!$G$13,IF(AND($T35="Гума",$F35=19),$AG35*Прайс!$G$14,IF(AND($T35="Металік",$F35=19),$AG35*Прайс!$G$15,IF(AND($T35="Рідке скло",$F35=19),$AG35*Прайс!$G$16,IF(AND(OR($T35="Перли",$T35="Графіт"),$F35=19),$AG35*Прайс!$G$17,IF(AND(OR($T35="Зор.н.ср.",$T35="Зор.н.зол.",$T35="Зор.н.різн."),$F35=19),$AG35*Прайс!$G$18,IF(AND($T35="2-х кол.х.",$F35=19),$AG35*Прайс!$G$19,IF(AND($T35="3-х кол.х.",$F35=19),$AG35*Прайс!$G$20,IF(AND($T35="Фотодрук",$F35=19),$AG35*Прайс!$G$21,0))))))))))))))</f>
        <v>0</v>
      </c>
      <c r="Z35" s="175">
        <f>IF(OR($C35=0,$C35=""),0,IF(AND(OR($T35="",$T35=0),$W35="Матове",OR($F35=4,$F35=6,$F35=8,$F35=10,$F35=16,$F35=19)),$AG35*(Прайс!$F$10-500),IF(AND(OR($T35="",$T35=0),$W35="Матове+акрил",OR($F35=4,$F35=6,$F35=8,$F35=10,$F35=16,$F35=19)),$AG35*(Прайс!#REF!-500),IF(AND(OR($T35="",$T35=0),$W35="Софт(TS)",OR($F35=4,$F35=6,$F35=8,$F35=10,$F35=16,$F35=19)),$AG35*(Прайс!$F$11-500),IF(AND(OR($T35="",$T35=0),$W35="Глянець",OR($F35=4,$F35=6,$F35=8,$F35=10,$F35=16,$F35=19)),$AG35*(Прайс!$F$12-500),IF(AND(OR($T35="Перл.ср.",$T35="Перл.зол."),OR($F35=4,$F35=6,$F35=8,$F35=10,$F35=16,$F35=19)),$AG35*(Прайс!$F$13-500),IF(AND($T35="Гума",OR($F35=4,$F35=6,$F35=8,$F35=10,$F35=16,$F35=19)),$AG35*(Прайс!$F$14-500),IF(AND($T35="Металік",OR($F35=4,$F35=6,$F35=8,$F35=10,$F35=16,$F35=19)),$AG35*(Прайс!$F$15-500),IF(AND($T35="Рідке скло",OR($F35=4,$F35=6,$F35=8,$F35=10,$F35=16,$F35=19)),$AG35*(Прайс!$F$16-500),IF(AND(OR($T35="Перли",$T35="Графіт"),OR($F35=4,$F35=6,$F35=8,$F35=10,$F35=16,$F35=19)),$AG35*(Прайс!$F$17-500),IF(AND(OR($T35="Зор.н.ср.",$T35="Зор.н.зол.",$T35="Зор.н.різн."),OR($F35=4,$F35=6,$F35=8,$F35=10,$F35=16,$F35=19)),$AG35*(Прайс!$F$18-500),IF(AND(,$T35="2-х кол.х.",OR($F35=4,$F35=6,$F35=8,$F35=10,$F35=16,$F35=19)),$AG35*(Прайс!$F$19-500),IF(AND($T35="3-х кол.х.",OR($F35=4,$F35=6,$F35=8,$F35=10,$F35=16,$F35=19)),$AG35*(Прайс!$F$20-500),IF(AND($T35="Фотодрук",OR($F35=4,$F35=6,$F35=8,$F35=10,$F35=16,$F35=19)),$AG35*(Прайс!$F$21-500),0))))))))))))))</f>
        <v>0</v>
      </c>
      <c r="AA35" s="178">
        <f>IF(Бланк!AD53=0,0,Бланк!AD53*E35)</f>
        <v>0</v>
      </c>
      <c r="AB35" s="178">
        <f>Бланк!AE53</f>
        <v>0</v>
      </c>
      <c r="AC35" s="175">
        <f>IF(OR(AA$3=0,$AA35=""),0,$AA35*Прайс!$D$49)</f>
        <v>0</v>
      </c>
      <c r="AD35" s="178">
        <f>Бланк!AF53</f>
        <v>0</v>
      </c>
      <c r="AE35" s="178">
        <f>Бланк!AG53</f>
        <v>0</v>
      </c>
      <c r="AF35" s="178">
        <f>Бланк!AH53</f>
        <v>0</v>
      </c>
      <c r="AG35" s="123">
        <f>Бланк!$AI53</f>
        <v>0</v>
      </c>
      <c r="AH35" s="183"/>
      <c r="AI35" s="183"/>
      <c r="AJ35" s="183"/>
      <c r="AK35" s="183"/>
      <c r="AL35" s="184"/>
      <c r="AM35" s="184"/>
      <c r="AN35" s="184"/>
      <c r="AO35" s="184"/>
      <c r="AP35" s="185"/>
      <c r="AQ35" s="181"/>
    </row>
    <row r="36" spans="2:43" s="186" customFormat="1" ht="21" customHeight="1" x14ac:dyDescent="0.3">
      <c r="B36" s="182">
        <v>34</v>
      </c>
      <c r="C36" s="170" t="str">
        <f>IF(Бланк!$C54="","",Бланк!$C54/1000)</f>
        <v/>
      </c>
      <c r="D36" s="171" t="str">
        <f>IF(Бланк!$D54="","",Бланк!$D54/1000)</f>
        <v/>
      </c>
      <c r="E36" s="172" t="str">
        <f>IF(Бланк!E54="","",Бланк!E54)</f>
        <v/>
      </c>
      <c r="F36" s="172" t="str">
        <f>IF(Бланк!F54="","",Бланк!F54)</f>
        <v/>
      </c>
      <c r="G36" s="172" t="str">
        <f>IF(Бланк!H54="","",Бланк!H54)</f>
        <v/>
      </c>
      <c r="H36" s="172" t="str">
        <f>IF(Бланк!I54="","",Бланк!I54)</f>
        <v/>
      </c>
      <c r="I36" s="173" t="str">
        <f>IF(OR($C36="",$C36=0),"",IF($H36="Пряма з чвертю",(Прайс!$D$39+Прайс!$D$42)*Просчет!$E36,IF(Просчет!$H36="Пряма без чверті",Прайс!$D$39*Просчет!$E36,IF(AND(Просчет!$H36="Шпрос з чвертю",OR($C36&lt;1,$C36=1)),(Прайс!$D$40+Прайс!$D$43)*Просчет!$E36,IF(AND($H36="Шпрос з чвертю",$C36&gt;1),(Прайс!$F$40+Прайс!$D$43)*Просчет!$E36,IF(AND($H36="Шпрос без чверті",OR($C36&lt;1,$C36=1)),Прайс!$D$40*Просчет!$E36,IF(AND($H36="Шпрос без чверті",$C36&gt;1),Прайс!$F$40*Просчет!$E36,"")))))))</f>
        <v/>
      </c>
      <c r="J36" s="174" t="str">
        <f>IF(Бланк!$J54="","",Бланк!$J54/1000)</f>
        <v/>
      </c>
      <c r="K36" s="174">
        <f>Бланк!K54</f>
        <v>0</v>
      </c>
      <c r="L36" s="174">
        <f>Бланк!L54</f>
        <v>0</v>
      </c>
      <c r="M36" s="174">
        <f>Бланк!M54</f>
        <v>0</v>
      </c>
      <c r="N36" s="175">
        <f t="shared" si="0"/>
        <v>0</v>
      </c>
      <c r="O36" s="173">
        <f>IF($K36="","",IF(OR($K36="J № 1",$K36="J № 2",$K36="J № 2L",$K36="J № 2R",$K36="AJ № 2",$K36="AJ № 2L",$K36="AJ № 2R",$K36="U",$K36="V"),$N36*Прайс!$D$46,IF(OR($K36="AJ № 3R",$K36="AJ № 4R",$K36="AJ № 5R",$K36="AJ № 3L",$K36="AJ № 4L",$K36="AJ № 5L",$K36="AJ № 3",$K36="AJ № 4",$K36="AJ № 5",$K36="J № 3",$K36="J № 4",$K36="J № 5",$K36="J № 6",$K36="J № 7",$K36="L",$K36="AL"),Прайс!$D$47*$E36,IF(OR($K36="J № 3L",$K36="J № 3R",$K36="J № 4L",$K36="J № 4R",$K36="J № 5L",$K36="J № 5R"),$N36/2*Прайс!$D$47*$E36,IF($K36="45 град.",$N36*Прайс!$D$45,0)))))</f>
        <v>0</v>
      </c>
      <c r="P36" s="234">
        <f>IF($K36="",0,IF(OR($M36=$S36,$M36=0),0,$N36*Прайс!$D$62))</f>
        <v>0</v>
      </c>
      <c r="Q36" s="176">
        <f>Бланк!N54</f>
        <v>0</v>
      </c>
      <c r="R36" s="177">
        <f>Бланк!R54</f>
        <v>0</v>
      </c>
      <c r="S36" s="177">
        <f>Бланк!S54</f>
        <v>0</v>
      </c>
      <c r="T36" s="177" t="str">
        <f>IF(Бланк!T54="","",Бланк!T54)</f>
        <v/>
      </c>
      <c r="U36" s="177">
        <f>Бланк!U54</f>
        <v>0</v>
      </c>
      <c r="V36" s="177">
        <f>Бланк!AB54</f>
        <v>0</v>
      </c>
      <c r="W36" s="177">
        <f>Бланк!AC54</f>
        <v>0</v>
      </c>
      <c r="X36" s="175">
        <f>IF(OR($C36=0,$C36=""),0,IF(AND(OR($T36="",$T36=0),$V36="Матове",OR($F36=4,$F36=6,$F36=8,$F36=10,$F36=16)),$AG36*Прайс!$F$10,IF(AND(OR($T36="",$T36=0),$V36="Матове+акрил",OR($F36=4,$F36=6,$F36=8,$F36=10,$F36=16)),$AG36*Прайс!#REF!,IF(AND(OR($T36="",$T36=0),$V36="Софт(TS)",OR($F36=4,$F36=6,$F36=8,$F36=10,$F36=16)),$AG36*Прайс!$F$11,IF(AND(OR($T36="",$T36=0),$V36="Глянець",OR($F36=4,$F36=6,$F36=8,$F36=10,$F36=16)),$AG36*Прайс!$F$12,IF(AND(OR($T36="Перл.ср.",$T36="Перл.зол."),OR($F36=4,$F36=6,$F36=8,$F36=10,$F36=16)),$AG36*Прайс!$F$13,IF(AND($T36="Гума",OR($F36=4,$F36=6,$F36=8,$F36=10,$F36=16)),$AG36*Прайс!$F$14,IF(AND($T36="Металік",OR($F36=4,$F36=6,$F36=8,$F36=10,$F36=16)),$AG36*Прайс!$F$15,IF(AND($T36="Рідке скло",OR($F36=4,$F36=6,$F36=8,$F36=10,$F36=16)),$AG36*Прайс!$F$16,IF(AND(OR($T36="Перли",$T36="Графіт"),OR($F36=4,$F36=6,$F36=8,$F36=10,$F36=16)),$AG36*Прайс!$F$17,IF(AND(OR($T36="Зор.н.ср.",$T36="Зор.н.зол.",$T36="Зор.н.різн."),OR($F36=4,$F36=6,$F36=8,$F36=10,$F36=16)),$AG36*Прайс!$F$18,IF(AND(,$T36="2-х кол.х.",OR($F36=4,$F36=6,$F36=8,$F36=10,$F36=16)),$AG36*Прайс!$F$19,IF(AND($T36="3-х кол.х.",OR($F36=4,$F36=6,$F36=8,$F36=10,$F36=16)),$AG36*Прайс!$F$20,IF(AND($T36="Фотодрук",OR($F36=4,$F36=6,$F36=8,$F36=10,$F36=16)),$AG36*Прайс!$F$21,0))))))))))))))</f>
        <v>0</v>
      </c>
      <c r="Y36" s="175">
        <f>IF(OR($C36=0,$C36=""),0,IF(AND(OR($T36="",$T36=0),$V36="Матове",$F36=19),$AG36*Прайс!$G$10,IF(AND(OR($T36="",$T36=0),$V36="Матове+акрил",$F36=19),$AG36*Прайс!#REF!,IF(AND(OR($T36="",$T36=0),$V36="Софт(TS)",$F36=19),$AG36*Прайс!$G$11,IF(AND(OR($T36="",$T36=0),$V36="Глянець",$F36=19),$AG36*Прайс!$G$12,IF(AND(OR($T36="Перл.ср.",$T36="Перл.зол."),$F36=19),$AG36*Прайс!$G$13,IF(AND($T36="Гума",$F36=19),$AG36*Прайс!$G$14,IF(AND($T36="Металік",$F36=19),$AG36*Прайс!$G$15,IF(AND($T36="Рідке скло",$F36=19),$AG36*Прайс!$G$16,IF(AND(OR($T36="Перли",$T36="Графіт"),$F36=19),$AG36*Прайс!$G$17,IF(AND(OR($T36="Зор.н.ср.",$T36="Зор.н.зол.",$T36="Зор.н.різн."),$F36=19),$AG36*Прайс!$G$18,IF(AND($T36="2-х кол.х.",$F36=19),$AG36*Прайс!$G$19,IF(AND($T36="3-х кол.х.",$F36=19),$AG36*Прайс!$G$20,IF(AND($T36="Фотодрук",$F36=19),$AG36*Прайс!$G$21,0))))))))))))))</f>
        <v>0</v>
      </c>
      <c r="Z36" s="175">
        <f>IF(OR($C36=0,$C36=""),0,IF(AND(OR($T36="",$T36=0),$W36="Матове",OR($F36=4,$F36=6,$F36=8,$F36=10,$F36=16,$F36=19)),$AG36*(Прайс!$F$10-500),IF(AND(OR($T36="",$T36=0),$W36="Матове+акрил",OR($F36=4,$F36=6,$F36=8,$F36=10,$F36=16,$F36=19)),$AG36*(Прайс!#REF!-500),IF(AND(OR($T36="",$T36=0),$W36="Софт(TS)",OR($F36=4,$F36=6,$F36=8,$F36=10,$F36=16,$F36=19)),$AG36*(Прайс!$F$11-500),IF(AND(OR($T36="",$T36=0),$W36="Глянець",OR($F36=4,$F36=6,$F36=8,$F36=10,$F36=16,$F36=19)),$AG36*(Прайс!$F$12-500),IF(AND(OR($T36="Перл.ср.",$T36="Перл.зол."),OR($F36=4,$F36=6,$F36=8,$F36=10,$F36=16,$F36=19)),$AG36*(Прайс!$F$13-500),IF(AND($T36="Гума",OR($F36=4,$F36=6,$F36=8,$F36=10,$F36=16,$F36=19)),$AG36*(Прайс!$F$14-500),IF(AND($T36="Металік",OR($F36=4,$F36=6,$F36=8,$F36=10,$F36=16,$F36=19)),$AG36*(Прайс!$F$15-500),IF(AND($T36="Рідке скло",OR($F36=4,$F36=6,$F36=8,$F36=10,$F36=16,$F36=19)),$AG36*(Прайс!$F$16-500),IF(AND(OR($T36="Перли",$T36="Графіт"),OR($F36=4,$F36=6,$F36=8,$F36=10,$F36=16,$F36=19)),$AG36*(Прайс!$F$17-500),IF(AND(OR($T36="Зор.н.ср.",$T36="Зор.н.зол.",$T36="Зор.н.різн."),OR($F36=4,$F36=6,$F36=8,$F36=10,$F36=16,$F36=19)),$AG36*(Прайс!$F$18-500),IF(AND(,$T36="2-х кол.х.",OR($F36=4,$F36=6,$F36=8,$F36=10,$F36=16,$F36=19)),$AG36*(Прайс!$F$19-500),IF(AND($T36="3-х кол.х.",OR($F36=4,$F36=6,$F36=8,$F36=10,$F36=16,$F36=19)),$AG36*(Прайс!$F$20-500),IF(AND($T36="Фотодрук",OR($F36=4,$F36=6,$F36=8,$F36=10,$F36=16,$F36=19)),$AG36*(Прайс!$F$21-500),0))))))))))))))</f>
        <v>0</v>
      </c>
      <c r="AA36" s="178">
        <f>IF(Бланк!AD54=0,0,Бланк!AD54*E36)</f>
        <v>0</v>
      </c>
      <c r="AB36" s="178">
        <f>Бланк!AE54</f>
        <v>0</v>
      </c>
      <c r="AC36" s="175">
        <f>IF(OR(AA$3=0,$AA36=""),0,$AA36*Прайс!$D$49)</f>
        <v>0</v>
      </c>
      <c r="AD36" s="178">
        <f>Бланк!AF54</f>
        <v>0</v>
      </c>
      <c r="AE36" s="178">
        <f>Бланк!AG54</f>
        <v>0</v>
      </c>
      <c r="AF36" s="178">
        <f>Бланк!AH54</f>
        <v>0</v>
      </c>
      <c r="AG36" s="123">
        <f>Бланк!$AI54</f>
        <v>0</v>
      </c>
      <c r="AH36" s="183"/>
      <c r="AI36" s="183"/>
      <c r="AJ36" s="183"/>
      <c r="AK36" s="183"/>
      <c r="AL36" s="184"/>
      <c r="AM36" s="184"/>
      <c r="AN36" s="184"/>
      <c r="AO36" s="184"/>
      <c r="AP36" s="185"/>
      <c r="AQ36" s="181"/>
    </row>
    <row r="37" spans="2:43" s="186" customFormat="1" ht="21" customHeight="1" x14ac:dyDescent="0.3">
      <c r="B37" s="182">
        <v>35</v>
      </c>
      <c r="C37" s="170" t="str">
        <f>IF(Бланк!$C55="","",Бланк!$C55/1000)</f>
        <v/>
      </c>
      <c r="D37" s="171" t="str">
        <f>IF(Бланк!$D55="","",Бланк!$D55/1000)</f>
        <v/>
      </c>
      <c r="E37" s="172" t="str">
        <f>IF(Бланк!E55="","",Бланк!E55)</f>
        <v/>
      </c>
      <c r="F37" s="172" t="str">
        <f>IF(Бланк!F55="","",Бланк!F55)</f>
        <v/>
      </c>
      <c r="G37" s="172" t="str">
        <f>IF(Бланк!H55="","",Бланк!H55)</f>
        <v/>
      </c>
      <c r="H37" s="172" t="str">
        <f>IF(Бланк!I55="","",Бланк!I55)</f>
        <v/>
      </c>
      <c r="I37" s="173" t="str">
        <f>IF(OR($C37="",$C37=0),"",IF($H37="Пряма з чвертю",(Прайс!$D$39+Прайс!$D$42)*Просчет!$E37,IF(Просчет!$H37="Пряма без чверті",Прайс!$D$39*Просчет!$E37,IF(AND(Просчет!$H37="Шпрос з чвертю",OR($C37&lt;1,$C37=1)),(Прайс!$D$40+Прайс!$D$43)*Просчет!$E37,IF(AND($H37="Шпрос з чвертю",$C37&gt;1),(Прайс!$F$40+Прайс!$D$43)*Просчет!$E37,IF(AND($H37="Шпрос без чверті",OR($C37&lt;1,$C37=1)),Прайс!$D$40*Просчет!$E37,IF(AND($H37="Шпрос без чверті",$C37&gt;1),Прайс!$F$40*Просчет!$E37,"")))))))</f>
        <v/>
      </c>
      <c r="J37" s="174" t="str">
        <f>IF(Бланк!$J55="","",Бланк!$J55/1000)</f>
        <v/>
      </c>
      <c r="K37" s="174">
        <f>Бланк!K55</f>
        <v>0</v>
      </c>
      <c r="L37" s="174">
        <f>Бланк!L55</f>
        <v>0</v>
      </c>
      <c r="M37" s="174">
        <f>Бланк!M55</f>
        <v>0</v>
      </c>
      <c r="N37" s="175">
        <f t="shared" si="0"/>
        <v>0</v>
      </c>
      <c r="O37" s="173">
        <f>IF($K37="","",IF(OR($K37="J № 1",$K37="J № 2",$K37="J № 2L",$K37="J № 2R",$K37="AJ № 2",$K37="AJ № 2L",$K37="AJ № 2R",$K37="U",$K37="V"),$N37*Прайс!$D$46,IF(OR($K37="AJ № 3R",$K37="AJ № 4R",$K37="AJ № 5R",$K37="AJ № 3L",$K37="AJ № 4L",$K37="AJ № 5L",$K37="AJ № 3",$K37="AJ № 4",$K37="AJ № 5",$K37="J № 3",$K37="J № 4",$K37="J № 5",$K37="J № 6",$K37="J № 7",$K37="L",$K37="AL"),Прайс!$D$47*$E37,IF(OR($K37="J № 3L",$K37="J № 3R",$K37="J № 4L",$K37="J № 4R",$K37="J № 5L",$K37="J № 5R"),$N37/2*Прайс!$D$47*$E37,IF($K37="45 град.",$N37*Прайс!$D$45,0)))))</f>
        <v>0</v>
      </c>
      <c r="P37" s="234">
        <f>IF($K37="",0,IF(OR($M37=$S37,$M37=0),0,$N37*Прайс!$D$62))</f>
        <v>0</v>
      </c>
      <c r="Q37" s="176">
        <f>Бланк!N55</f>
        <v>0</v>
      </c>
      <c r="R37" s="177">
        <f>Бланк!R55</f>
        <v>0</v>
      </c>
      <c r="S37" s="177">
        <f>Бланк!S55</f>
        <v>0</v>
      </c>
      <c r="T37" s="177" t="str">
        <f>IF(Бланк!T55="","",Бланк!T55)</f>
        <v/>
      </c>
      <c r="U37" s="177">
        <f>Бланк!U55</f>
        <v>0</v>
      </c>
      <c r="V37" s="177">
        <f>Бланк!AB55</f>
        <v>0</v>
      </c>
      <c r="W37" s="177">
        <f>Бланк!AC55</f>
        <v>0</v>
      </c>
      <c r="X37" s="175">
        <f>IF(OR($C37=0,$C37=""),0,IF(AND(OR($T37="",$T37=0),$V37="Матове",OR($F37=4,$F37=6,$F37=8,$F37=10,$F37=16)),$AG37*Прайс!$F$10,IF(AND(OR($T37="",$T37=0),$V37="Матове+акрил",OR($F37=4,$F37=6,$F37=8,$F37=10,$F37=16)),$AG37*Прайс!#REF!,IF(AND(OR($T37="",$T37=0),$V37="Софт(TS)",OR($F37=4,$F37=6,$F37=8,$F37=10,$F37=16)),$AG37*Прайс!$F$11,IF(AND(OR($T37="",$T37=0),$V37="Глянець",OR($F37=4,$F37=6,$F37=8,$F37=10,$F37=16)),$AG37*Прайс!$F$12,IF(AND(OR($T37="Перл.ср.",$T37="Перл.зол."),OR($F37=4,$F37=6,$F37=8,$F37=10,$F37=16)),$AG37*Прайс!$F$13,IF(AND($T37="Гума",OR($F37=4,$F37=6,$F37=8,$F37=10,$F37=16)),$AG37*Прайс!$F$14,IF(AND($T37="Металік",OR($F37=4,$F37=6,$F37=8,$F37=10,$F37=16)),$AG37*Прайс!$F$15,IF(AND($T37="Рідке скло",OR($F37=4,$F37=6,$F37=8,$F37=10,$F37=16)),$AG37*Прайс!$F$16,IF(AND(OR($T37="Перли",$T37="Графіт"),OR($F37=4,$F37=6,$F37=8,$F37=10,$F37=16)),$AG37*Прайс!$F$17,IF(AND(OR($T37="Зор.н.ср.",$T37="Зор.н.зол.",$T37="Зор.н.різн."),OR($F37=4,$F37=6,$F37=8,$F37=10,$F37=16)),$AG37*Прайс!$F$18,IF(AND(,$T37="2-х кол.х.",OR($F37=4,$F37=6,$F37=8,$F37=10,$F37=16)),$AG37*Прайс!$F$19,IF(AND($T37="3-х кол.х.",OR($F37=4,$F37=6,$F37=8,$F37=10,$F37=16)),$AG37*Прайс!$F$20,IF(AND($T37="Фотодрук",OR($F37=4,$F37=6,$F37=8,$F37=10,$F37=16)),$AG37*Прайс!$F$21,0))))))))))))))</f>
        <v>0</v>
      </c>
      <c r="Y37" s="175">
        <f>IF(OR($C37=0,$C37=""),0,IF(AND(OR($T37="",$T37=0),$V37="Матове",$F37=19),$AG37*Прайс!$G$10,IF(AND(OR($T37="",$T37=0),$V37="Матове+акрил",$F37=19),$AG37*Прайс!#REF!,IF(AND(OR($T37="",$T37=0),$V37="Софт(TS)",$F37=19),$AG37*Прайс!$G$11,IF(AND(OR($T37="",$T37=0),$V37="Глянець",$F37=19),$AG37*Прайс!$G$12,IF(AND(OR($T37="Перл.ср.",$T37="Перл.зол."),$F37=19),$AG37*Прайс!$G$13,IF(AND($T37="Гума",$F37=19),$AG37*Прайс!$G$14,IF(AND($T37="Металік",$F37=19),$AG37*Прайс!$G$15,IF(AND($T37="Рідке скло",$F37=19),$AG37*Прайс!$G$16,IF(AND(OR($T37="Перли",$T37="Графіт"),$F37=19),$AG37*Прайс!$G$17,IF(AND(OR($T37="Зор.н.ср.",$T37="Зор.н.зол.",$T37="Зор.н.різн."),$F37=19),$AG37*Прайс!$G$18,IF(AND($T37="2-х кол.х.",$F37=19),$AG37*Прайс!$G$19,IF(AND($T37="3-х кол.х.",$F37=19),$AG37*Прайс!$G$20,IF(AND($T37="Фотодрук",$F37=19),$AG37*Прайс!$G$21,0))))))))))))))</f>
        <v>0</v>
      </c>
      <c r="Z37" s="175">
        <f>IF(OR($C37=0,$C37=""),0,IF(AND(OR($T37="",$T37=0),$W37="Матове",OR($F37=4,$F37=6,$F37=8,$F37=10,$F37=16,$F37=19)),$AG37*(Прайс!$F$10-500),IF(AND(OR($T37="",$T37=0),$W37="Матове+акрил",OR($F37=4,$F37=6,$F37=8,$F37=10,$F37=16,$F37=19)),$AG37*(Прайс!#REF!-500),IF(AND(OR($T37="",$T37=0),$W37="Софт(TS)",OR($F37=4,$F37=6,$F37=8,$F37=10,$F37=16,$F37=19)),$AG37*(Прайс!$F$11-500),IF(AND(OR($T37="",$T37=0),$W37="Глянець",OR($F37=4,$F37=6,$F37=8,$F37=10,$F37=16,$F37=19)),$AG37*(Прайс!$F$12-500),IF(AND(OR($T37="Перл.ср.",$T37="Перл.зол."),OR($F37=4,$F37=6,$F37=8,$F37=10,$F37=16,$F37=19)),$AG37*(Прайс!$F$13-500),IF(AND($T37="Гума",OR($F37=4,$F37=6,$F37=8,$F37=10,$F37=16,$F37=19)),$AG37*(Прайс!$F$14-500),IF(AND($T37="Металік",OR($F37=4,$F37=6,$F37=8,$F37=10,$F37=16,$F37=19)),$AG37*(Прайс!$F$15-500),IF(AND($T37="Рідке скло",OR($F37=4,$F37=6,$F37=8,$F37=10,$F37=16,$F37=19)),$AG37*(Прайс!$F$16-500),IF(AND(OR($T37="Перли",$T37="Графіт"),OR($F37=4,$F37=6,$F37=8,$F37=10,$F37=16,$F37=19)),$AG37*(Прайс!$F$17-500),IF(AND(OR($T37="Зор.н.ср.",$T37="Зор.н.зол.",$T37="Зор.н.різн."),OR($F37=4,$F37=6,$F37=8,$F37=10,$F37=16,$F37=19)),$AG37*(Прайс!$F$18-500),IF(AND(,$T37="2-х кол.х.",OR($F37=4,$F37=6,$F37=8,$F37=10,$F37=16,$F37=19)),$AG37*(Прайс!$F$19-500),IF(AND($T37="3-х кол.х.",OR($F37=4,$F37=6,$F37=8,$F37=10,$F37=16,$F37=19)),$AG37*(Прайс!$F$20-500),IF(AND($T37="Фотодрук",OR($F37=4,$F37=6,$F37=8,$F37=10,$F37=16,$F37=19)),$AG37*(Прайс!$F$21-500),0))))))))))))))</f>
        <v>0</v>
      </c>
      <c r="AA37" s="178">
        <f>IF(Бланк!AD55=0,0,Бланк!AD55*E37)</f>
        <v>0</v>
      </c>
      <c r="AB37" s="178">
        <f>Бланк!AE55</f>
        <v>0</v>
      </c>
      <c r="AC37" s="175">
        <f>IF(OR(AA$3=0,$AA37=""),0,$AA37*Прайс!$D$49)</f>
        <v>0</v>
      </c>
      <c r="AD37" s="178">
        <f>Бланк!AF55</f>
        <v>0</v>
      </c>
      <c r="AE37" s="178">
        <f>Бланк!AG55</f>
        <v>0</v>
      </c>
      <c r="AF37" s="178">
        <f>Бланк!AH55</f>
        <v>0</v>
      </c>
      <c r="AG37" s="123">
        <f>Бланк!$AI55</f>
        <v>0</v>
      </c>
      <c r="AH37" s="183"/>
      <c r="AI37" s="183"/>
      <c r="AJ37" s="183"/>
      <c r="AK37" s="183"/>
      <c r="AL37" s="184"/>
      <c r="AM37" s="184"/>
      <c r="AN37" s="184"/>
      <c r="AO37" s="184"/>
      <c r="AP37" s="185"/>
      <c r="AQ37" s="181"/>
    </row>
    <row r="38" spans="2:43" s="186" customFormat="1" ht="21" customHeight="1" x14ac:dyDescent="0.3">
      <c r="B38" s="182">
        <v>36</v>
      </c>
      <c r="C38" s="170" t="str">
        <f>IF(Бланк!$C56="","",Бланк!$C56/1000)</f>
        <v/>
      </c>
      <c r="D38" s="171" t="str">
        <f>IF(Бланк!$D56="","",Бланк!$D56/1000)</f>
        <v/>
      </c>
      <c r="E38" s="172" t="str">
        <f>IF(Бланк!E56="","",Бланк!E56)</f>
        <v/>
      </c>
      <c r="F38" s="172" t="str">
        <f>IF(Бланк!F56="","",Бланк!F56)</f>
        <v/>
      </c>
      <c r="G38" s="172" t="str">
        <f>IF(Бланк!H56="","",Бланк!H56)</f>
        <v/>
      </c>
      <c r="H38" s="172" t="str">
        <f>IF(Бланк!I56="","",Бланк!I56)</f>
        <v/>
      </c>
      <c r="I38" s="173" t="str">
        <f>IF(OR($C38="",$C38=0),"",IF($H38="Пряма з чвертю",(Прайс!$D$39+Прайс!$D$42)*Просчет!$E38,IF(Просчет!$H38="Пряма без чверті",Прайс!$D$39*Просчет!$E38,IF(AND(Просчет!$H38="Шпрос з чвертю",OR($C38&lt;1,$C38=1)),(Прайс!$D$40+Прайс!$D$43)*Просчет!$E38,IF(AND($H38="Шпрос з чвертю",$C38&gt;1),(Прайс!$F$40+Прайс!$D$43)*Просчет!$E38,IF(AND($H38="Шпрос без чверті",OR($C38&lt;1,$C38=1)),Прайс!$D$40*Просчет!$E38,IF(AND($H38="Шпрос без чверті",$C38&gt;1),Прайс!$F$40*Просчет!$E38,"")))))))</f>
        <v/>
      </c>
      <c r="J38" s="174" t="str">
        <f>IF(Бланк!$J56="","",Бланк!$J56/1000)</f>
        <v/>
      </c>
      <c r="K38" s="174">
        <f>Бланк!K56</f>
        <v>0</v>
      </c>
      <c r="L38" s="174">
        <f>Бланк!L56</f>
        <v>0</v>
      </c>
      <c r="M38" s="174">
        <f>Бланк!M56</f>
        <v>0</v>
      </c>
      <c r="N38" s="175">
        <f t="shared" si="0"/>
        <v>0</v>
      </c>
      <c r="O38" s="173">
        <f>IF($K38="","",IF(OR($K38="J № 1",$K38="J № 2",$K38="J № 2L",$K38="J № 2R",$K38="AJ № 2",$K38="AJ № 2L",$K38="AJ № 2R",$K38="U",$K38="V"),$N38*Прайс!$D$46,IF(OR($K38="AJ № 3R",$K38="AJ № 4R",$K38="AJ № 5R",$K38="AJ № 3L",$K38="AJ № 4L",$K38="AJ № 5L",$K38="AJ № 3",$K38="AJ № 4",$K38="AJ № 5",$K38="J № 3",$K38="J № 4",$K38="J № 5",$K38="J № 6",$K38="J № 7",$K38="L",$K38="AL"),Прайс!$D$47*$E38,IF(OR($K38="J № 3L",$K38="J № 3R",$K38="J № 4L",$K38="J № 4R",$K38="J № 5L",$K38="J № 5R"),$N38/2*Прайс!$D$47*$E38,IF($K38="45 град.",$N38*Прайс!$D$45,0)))))</f>
        <v>0</v>
      </c>
      <c r="P38" s="234">
        <f>IF($K38="",0,IF(OR($M38=$S38,$M38=0),0,$N38*Прайс!$D$62))</f>
        <v>0</v>
      </c>
      <c r="Q38" s="176">
        <f>Бланк!N56</f>
        <v>0</v>
      </c>
      <c r="R38" s="177">
        <f>Бланк!R56</f>
        <v>0</v>
      </c>
      <c r="S38" s="177">
        <f>Бланк!S56</f>
        <v>0</v>
      </c>
      <c r="T38" s="177" t="str">
        <f>IF(Бланк!T56="","",Бланк!T56)</f>
        <v/>
      </c>
      <c r="U38" s="177">
        <f>Бланк!U56</f>
        <v>0</v>
      </c>
      <c r="V38" s="177">
        <f>Бланк!AB56</f>
        <v>0</v>
      </c>
      <c r="W38" s="177">
        <f>Бланк!AC56</f>
        <v>0</v>
      </c>
      <c r="X38" s="175">
        <f>IF(OR($C38=0,$C38=""),0,IF(AND(OR($T38="",$T38=0),$V38="Матове",OR($F38=4,$F38=6,$F38=8,$F38=10,$F38=16)),$AG38*Прайс!$F$10,IF(AND(OR($T38="",$T38=0),$V38="Матове+акрил",OR($F38=4,$F38=6,$F38=8,$F38=10,$F38=16)),$AG38*Прайс!#REF!,IF(AND(OR($T38="",$T38=0),$V38="Софт(TS)",OR($F38=4,$F38=6,$F38=8,$F38=10,$F38=16)),$AG38*Прайс!$F$11,IF(AND(OR($T38="",$T38=0),$V38="Глянець",OR($F38=4,$F38=6,$F38=8,$F38=10,$F38=16)),$AG38*Прайс!$F$12,IF(AND(OR($T38="Перл.ср.",$T38="Перл.зол."),OR($F38=4,$F38=6,$F38=8,$F38=10,$F38=16)),$AG38*Прайс!$F$13,IF(AND($T38="Гума",OR($F38=4,$F38=6,$F38=8,$F38=10,$F38=16)),$AG38*Прайс!$F$14,IF(AND($T38="Металік",OR($F38=4,$F38=6,$F38=8,$F38=10,$F38=16)),$AG38*Прайс!$F$15,IF(AND($T38="Рідке скло",OR($F38=4,$F38=6,$F38=8,$F38=10,$F38=16)),$AG38*Прайс!$F$16,IF(AND(OR($T38="Перли",$T38="Графіт"),OR($F38=4,$F38=6,$F38=8,$F38=10,$F38=16)),$AG38*Прайс!$F$17,IF(AND(OR($T38="Зор.н.ср.",$T38="Зор.н.зол.",$T38="Зор.н.різн."),OR($F38=4,$F38=6,$F38=8,$F38=10,$F38=16)),$AG38*Прайс!$F$18,IF(AND(,$T38="2-х кол.х.",OR($F38=4,$F38=6,$F38=8,$F38=10,$F38=16)),$AG38*Прайс!$F$19,IF(AND($T38="3-х кол.х.",OR($F38=4,$F38=6,$F38=8,$F38=10,$F38=16)),$AG38*Прайс!$F$20,IF(AND($T38="Фотодрук",OR($F38=4,$F38=6,$F38=8,$F38=10,$F38=16)),$AG38*Прайс!$F$21,0))))))))))))))</f>
        <v>0</v>
      </c>
      <c r="Y38" s="175">
        <f>IF(OR($C38=0,$C38=""),0,IF(AND(OR($T38="",$T38=0),$V38="Матове",$F38=19),$AG38*Прайс!$G$10,IF(AND(OR($T38="",$T38=0),$V38="Матове+акрил",$F38=19),$AG38*Прайс!#REF!,IF(AND(OR($T38="",$T38=0),$V38="Софт(TS)",$F38=19),$AG38*Прайс!$G$11,IF(AND(OR($T38="",$T38=0),$V38="Глянець",$F38=19),$AG38*Прайс!$G$12,IF(AND(OR($T38="Перл.ср.",$T38="Перл.зол."),$F38=19),$AG38*Прайс!$G$13,IF(AND($T38="Гума",$F38=19),$AG38*Прайс!$G$14,IF(AND($T38="Металік",$F38=19),$AG38*Прайс!$G$15,IF(AND($T38="Рідке скло",$F38=19),$AG38*Прайс!$G$16,IF(AND(OR($T38="Перли",$T38="Графіт"),$F38=19),$AG38*Прайс!$G$17,IF(AND(OR($T38="Зор.н.ср.",$T38="Зор.н.зол.",$T38="Зор.н.різн."),$F38=19),$AG38*Прайс!$G$18,IF(AND($T38="2-х кол.х.",$F38=19),$AG38*Прайс!$G$19,IF(AND($T38="3-х кол.х.",$F38=19),$AG38*Прайс!$G$20,IF(AND($T38="Фотодрук",$F38=19),$AG38*Прайс!$G$21,0))))))))))))))</f>
        <v>0</v>
      </c>
      <c r="Z38" s="175">
        <f>IF(OR($C38=0,$C38=""),0,IF(AND(OR($T38="",$T38=0),$W38="Матове",OR($F38=4,$F38=6,$F38=8,$F38=10,$F38=16,$F38=19)),$AG38*(Прайс!$F$10-500),IF(AND(OR($T38="",$T38=0),$W38="Матове+акрил",OR($F38=4,$F38=6,$F38=8,$F38=10,$F38=16,$F38=19)),$AG38*(Прайс!#REF!-500),IF(AND(OR($T38="",$T38=0),$W38="Софт(TS)",OR($F38=4,$F38=6,$F38=8,$F38=10,$F38=16,$F38=19)),$AG38*(Прайс!$F$11-500),IF(AND(OR($T38="",$T38=0),$W38="Глянець",OR($F38=4,$F38=6,$F38=8,$F38=10,$F38=16,$F38=19)),$AG38*(Прайс!$F$12-500),IF(AND(OR($T38="Перл.ср.",$T38="Перл.зол."),OR($F38=4,$F38=6,$F38=8,$F38=10,$F38=16,$F38=19)),$AG38*(Прайс!$F$13-500),IF(AND($T38="Гума",OR($F38=4,$F38=6,$F38=8,$F38=10,$F38=16,$F38=19)),$AG38*(Прайс!$F$14-500),IF(AND($T38="Металік",OR($F38=4,$F38=6,$F38=8,$F38=10,$F38=16,$F38=19)),$AG38*(Прайс!$F$15-500),IF(AND($T38="Рідке скло",OR($F38=4,$F38=6,$F38=8,$F38=10,$F38=16,$F38=19)),$AG38*(Прайс!$F$16-500),IF(AND(OR($T38="Перли",$T38="Графіт"),OR($F38=4,$F38=6,$F38=8,$F38=10,$F38=16,$F38=19)),$AG38*(Прайс!$F$17-500),IF(AND(OR($T38="Зор.н.ср.",$T38="Зор.н.зол.",$T38="Зор.н.різн."),OR($F38=4,$F38=6,$F38=8,$F38=10,$F38=16,$F38=19)),$AG38*(Прайс!$F$18-500),IF(AND(,$T38="2-х кол.х.",OR($F38=4,$F38=6,$F38=8,$F38=10,$F38=16,$F38=19)),$AG38*(Прайс!$F$19-500),IF(AND($T38="3-х кол.х.",OR($F38=4,$F38=6,$F38=8,$F38=10,$F38=16,$F38=19)),$AG38*(Прайс!$F$20-500),IF(AND($T38="Фотодрук",OR($F38=4,$F38=6,$F38=8,$F38=10,$F38=16,$F38=19)),$AG38*(Прайс!$F$21-500),0))))))))))))))</f>
        <v>0</v>
      </c>
      <c r="AA38" s="178">
        <f>IF(Бланк!AD56=0,0,Бланк!AD56*E38)</f>
        <v>0</v>
      </c>
      <c r="AB38" s="178">
        <f>Бланк!AE56</f>
        <v>0</v>
      </c>
      <c r="AC38" s="175">
        <f>IF(OR(AA$3=0,$AA38=""),0,$AA38*Прайс!$D$49)</f>
        <v>0</v>
      </c>
      <c r="AD38" s="178">
        <f>Бланк!AF56</f>
        <v>0</v>
      </c>
      <c r="AE38" s="178">
        <f>Бланк!AG56</f>
        <v>0</v>
      </c>
      <c r="AF38" s="178">
        <f>Бланк!AH56</f>
        <v>0</v>
      </c>
      <c r="AG38" s="123">
        <f>Бланк!$AI56</f>
        <v>0</v>
      </c>
      <c r="AH38" s="183"/>
      <c r="AI38" s="183"/>
      <c r="AJ38" s="183"/>
      <c r="AK38" s="183"/>
      <c r="AL38" s="184"/>
      <c r="AM38" s="184"/>
      <c r="AN38" s="184"/>
      <c r="AO38" s="184"/>
      <c r="AP38" s="185"/>
      <c r="AQ38" s="181"/>
    </row>
    <row r="39" spans="2:43" s="186" customFormat="1" ht="21" customHeight="1" x14ac:dyDescent="0.3">
      <c r="B39" s="182">
        <v>37</v>
      </c>
      <c r="C39" s="170" t="str">
        <f>IF(Бланк!$C57="","",Бланк!$C57/1000)</f>
        <v/>
      </c>
      <c r="D39" s="171" t="str">
        <f>IF(Бланк!$D57="","",Бланк!$D57/1000)</f>
        <v/>
      </c>
      <c r="E39" s="172" t="str">
        <f>IF(Бланк!E57="","",Бланк!E57)</f>
        <v/>
      </c>
      <c r="F39" s="172" t="str">
        <f>IF(Бланк!F57="","",Бланк!F57)</f>
        <v/>
      </c>
      <c r="G39" s="172" t="str">
        <f>IF(Бланк!H57="","",Бланк!H57)</f>
        <v/>
      </c>
      <c r="H39" s="172" t="str">
        <f>IF(Бланк!I57="","",Бланк!I57)</f>
        <v/>
      </c>
      <c r="I39" s="173" t="str">
        <f>IF(OR($C39="",$C39=0),"",IF($H39="Пряма з чвертю",(Прайс!$D$39+Прайс!$D$42)*Просчет!$E39,IF(Просчет!$H39="Пряма без чверті",Прайс!$D$39*Просчет!$E39,IF(AND(Просчет!$H39="Шпрос з чвертю",OR($C39&lt;1,$C39=1)),(Прайс!$D$40+Прайс!$D$43)*Просчет!$E39,IF(AND($H39="Шпрос з чвертю",$C39&gt;1),(Прайс!$F$40+Прайс!$D$43)*Просчет!$E39,IF(AND($H39="Шпрос без чверті",OR($C39&lt;1,$C39=1)),Прайс!$D$40*Просчет!$E39,IF(AND($H39="Шпрос без чверті",$C39&gt;1),Прайс!$F$40*Просчет!$E39,"")))))))</f>
        <v/>
      </c>
      <c r="J39" s="174" t="str">
        <f>IF(Бланк!$J57="","",Бланк!$J57/1000)</f>
        <v/>
      </c>
      <c r="K39" s="174">
        <f>Бланк!K57</f>
        <v>0</v>
      </c>
      <c r="L39" s="174">
        <f>Бланк!L57</f>
        <v>0</v>
      </c>
      <c r="M39" s="174">
        <f>Бланк!M57</f>
        <v>0</v>
      </c>
      <c r="N39" s="175">
        <f t="shared" si="0"/>
        <v>0</v>
      </c>
      <c r="O39" s="173">
        <f>IF($K39="","",IF(OR($K39="J № 1",$K39="J № 2",$K39="J № 2L",$K39="J № 2R",$K39="AJ № 2",$K39="AJ № 2L",$K39="AJ № 2R",$K39="U",$K39="V"),$N39*Прайс!$D$46,IF(OR($K39="AJ № 3R",$K39="AJ № 4R",$K39="AJ № 5R",$K39="AJ № 3L",$K39="AJ № 4L",$K39="AJ № 5L",$K39="AJ № 3",$K39="AJ № 4",$K39="AJ № 5",$K39="J № 3",$K39="J № 4",$K39="J № 5",$K39="J № 6",$K39="J № 7",$K39="L",$K39="AL"),Прайс!$D$47*$E39,IF(OR($K39="J № 3L",$K39="J № 3R",$K39="J № 4L",$K39="J № 4R",$K39="J № 5L",$K39="J № 5R"),$N39/2*Прайс!$D$47*$E39,IF($K39="45 град.",$N39*Прайс!$D$45,0)))))</f>
        <v>0</v>
      </c>
      <c r="P39" s="234">
        <f>IF($K39="",0,IF(OR($M39=$S39,$M39=0),0,$N39*Прайс!$D$62))</f>
        <v>0</v>
      </c>
      <c r="Q39" s="176">
        <f>Бланк!N57</f>
        <v>0</v>
      </c>
      <c r="R39" s="177">
        <f>Бланк!R57</f>
        <v>0</v>
      </c>
      <c r="S39" s="177">
        <f>Бланк!S57</f>
        <v>0</v>
      </c>
      <c r="T39" s="177" t="str">
        <f>IF(Бланк!T57="","",Бланк!T57)</f>
        <v/>
      </c>
      <c r="U39" s="177">
        <f>Бланк!U57</f>
        <v>0</v>
      </c>
      <c r="V39" s="177">
        <f>Бланк!AB57</f>
        <v>0</v>
      </c>
      <c r="W39" s="177">
        <f>Бланк!AC57</f>
        <v>0</v>
      </c>
      <c r="X39" s="175">
        <f>IF(OR($C39=0,$C39=""),0,IF(AND(OR($T39="",$T39=0),$V39="Матове",OR($F39=4,$F39=6,$F39=8,$F39=10,$F39=16)),$AG39*Прайс!$F$10,IF(AND(OR($T39="",$T39=0),$V39="Матове+акрил",OR($F39=4,$F39=6,$F39=8,$F39=10,$F39=16)),$AG39*Прайс!#REF!,IF(AND(OR($T39="",$T39=0),$V39="Софт(TS)",OR($F39=4,$F39=6,$F39=8,$F39=10,$F39=16)),$AG39*Прайс!$F$11,IF(AND(OR($T39="",$T39=0),$V39="Глянець",OR($F39=4,$F39=6,$F39=8,$F39=10,$F39=16)),$AG39*Прайс!$F$12,IF(AND(OR($T39="Перл.ср.",$T39="Перл.зол."),OR($F39=4,$F39=6,$F39=8,$F39=10,$F39=16)),$AG39*Прайс!$F$13,IF(AND($T39="Гума",OR($F39=4,$F39=6,$F39=8,$F39=10,$F39=16)),$AG39*Прайс!$F$14,IF(AND($T39="Металік",OR($F39=4,$F39=6,$F39=8,$F39=10,$F39=16)),$AG39*Прайс!$F$15,IF(AND($T39="Рідке скло",OR($F39=4,$F39=6,$F39=8,$F39=10,$F39=16)),$AG39*Прайс!$F$16,IF(AND(OR($T39="Перли",$T39="Графіт"),OR($F39=4,$F39=6,$F39=8,$F39=10,$F39=16)),$AG39*Прайс!$F$17,IF(AND(OR($T39="Зор.н.ср.",$T39="Зор.н.зол.",$T39="Зор.н.різн."),OR($F39=4,$F39=6,$F39=8,$F39=10,$F39=16)),$AG39*Прайс!$F$18,IF(AND(,$T39="2-х кол.х.",OR($F39=4,$F39=6,$F39=8,$F39=10,$F39=16)),$AG39*Прайс!$F$19,IF(AND($T39="3-х кол.х.",OR($F39=4,$F39=6,$F39=8,$F39=10,$F39=16)),$AG39*Прайс!$F$20,IF(AND($T39="Фотодрук",OR($F39=4,$F39=6,$F39=8,$F39=10,$F39=16)),$AG39*Прайс!$F$21,0))))))))))))))</f>
        <v>0</v>
      </c>
      <c r="Y39" s="175">
        <f>IF(OR($C39=0,$C39=""),0,IF(AND(OR($T39="",$T39=0),$V39="Матове",$F39=19),$AG39*Прайс!$G$10,IF(AND(OR($T39="",$T39=0),$V39="Матове+акрил",$F39=19),$AG39*Прайс!#REF!,IF(AND(OR($T39="",$T39=0),$V39="Софт(TS)",$F39=19),$AG39*Прайс!$G$11,IF(AND(OR($T39="",$T39=0),$V39="Глянець",$F39=19),$AG39*Прайс!$G$12,IF(AND(OR($T39="Перл.ср.",$T39="Перл.зол."),$F39=19),$AG39*Прайс!$G$13,IF(AND($T39="Гума",$F39=19),$AG39*Прайс!$G$14,IF(AND($T39="Металік",$F39=19),$AG39*Прайс!$G$15,IF(AND($T39="Рідке скло",$F39=19),$AG39*Прайс!$G$16,IF(AND(OR($T39="Перли",$T39="Графіт"),$F39=19),$AG39*Прайс!$G$17,IF(AND(OR($T39="Зор.н.ср.",$T39="Зор.н.зол.",$T39="Зор.н.різн."),$F39=19),$AG39*Прайс!$G$18,IF(AND($T39="2-х кол.х.",$F39=19),$AG39*Прайс!$G$19,IF(AND($T39="3-х кол.х.",$F39=19),$AG39*Прайс!$G$20,IF(AND($T39="Фотодрук",$F39=19),$AG39*Прайс!$G$21,0))))))))))))))</f>
        <v>0</v>
      </c>
      <c r="Z39" s="175">
        <f>IF(OR($C39=0,$C39=""),0,IF(AND(OR($T39="",$T39=0),$W39="Матове",OR($F39=4,$F39=6,$F39=8,$F39=10,$F39=16,$F39=19)),$AG39*(Прайс!$F$10-500),IF(AND(OR($T39="",$T39=0),$W39="Матове+акрил",OR($F39=4,$F39=6,$F39=8,$F39=10,$F39=16,$F39=19)),$AG39*(Прайс!#REF!-500),IF(AND(OR($T39="",$T39=0),$W39="Софт(TS)",OR($F39=4,$F39=6,$F39=8,$F39=10,$F39=16,$F39=19)),$AG39*(Прайс!$F$11-500),IF(AND(OR($T39="",$T39=0),$W39="Глянець",OR($F39=4,$F39=6,$F39=8,$F39=10,$F39=16,$F39=19)),$AG39*(Прайс!$F$12-500),IF(AND(OR($T39="Перл.ср.",$T39="Перл.зол."),OR($F39=4,$F39=6,$F39=8,$F39=10,$F39=16,$F39=19)),$AG39*(Прайс!$F$13-500),IF(AND($T39="Гума",OR($F39=4,$F39=6,$F39=8,$F39=10,$F39=16,$F39=19)),$AG39*(Прайс!$F$14-500),IF(AND($T39="Металік",OR($F39=4,$F39=6,$F39=8,$F39=10,$F39=16,$F39=19)),$AG39*(Прайс!$F$15-500),IF(AND($T39="Рідке скло",OR($F39=4,$F39=6,$F39=8,$F39=10,$F39=16,$F39=19)),$AG39*(Прайс!$F$16-500),IF(AND(OR($T39="Перли",$T39="Графіт"),OR($F39=4,$F39=6,$F39=8,$F39=10,$F39=16,$F39=19)),$AG39*(Прайс!$F$17-500),IF(AND(OR($T39="Зор.н.ср.",$T39="Зор.н.зол.",$T39="Зор.н.різн."),OR($F39=4,$F39=6,$F39=8,$F39=10,$F39=16,$F39=19)),$AG39*(Прайс!$F$18-500),IF(AND(,$T39="2-х кол.х.",OR($F39=4,$F39=6,$F39=8,$F39=10,$F39=16,$F39=19)),$AG39*(Прайс!$F$19-500),IF(AND($T39="3-х кол.х.",OR($F39=4,$F39=6,$F39=8,$F39=10,$F39=16,$F39=19)),$AG39*(Прайс!$F$20-500),IF(AND($T39="Фотодрук",OR($F39=4,$F39=6,$F39=8,$F39=10,$F39=16,$F39=19)),$AG39*(Прайс!$F$21-500),0))))))))))))))</f>
        <v>0</v>
      </c>
      <c r="AA39" s="178">
        <f>IF(Бланк!AD57=0,0,Бланк!AD57*E39)</f>
        <v>0</v>
      </c>
      <c r="AB39" s="178">
        <f>Бланк!AE57</f>
        <v>0</v>
      </c>
      <c r="AC39" s="175">
        <f>IF(OR(AA$3=0,$AA39=""),0,$AA39*Прайс!$D$49)</f>
        <v>0</v>
      </c>
      <c r="AD39" s="178">
        <f>Бланк!AF57</f>
        <v>0</v>
      </c>
      <c r="AE39" s="178">
        <f>Бланк!AG57</f>
        <v>0</v>
      </c>
      <c r="AF39" s="178">
        <f>Бланк!AH57</f>
        <v>0</v>
      </c>
      <c r="AG39" s="123">
        <f>Бланк!$AI57</f>
        <v>0</v>
      </c>
      <c r="AH39" s="183"/>
      <c r="AI39" s="183"/>
      <c r="AJ39" s="183"/>
      <c r="AK39" s="183"/>
      <c r="AL39" s="184"/>
      <c r="AM39" s="184"/>
      <c r="AN39" s="184"/>
      <c r="AO39" s="184"/>
      <c r="AP39" s="185"/>
      <c r="AQ39" s="181"/>
    </row>
    <row r="40" spans="2:43" s="186" customFormat="1" ht="21" customHeight="1" x14ac:dyDescent="0.3">
      <c r="B40" s="182">
        <v>38</v>
      </c>
      <c r="C40" s="170" t="str">
        <f>IF(Бланк!$C58="","",Бланк!$C58/1000)</f>
        <v/>
      </c>
      <c r="D40" s="171" t="str">
        <f>IF(Бланк!$D58="","",Бланк!$D58/1000)</f>
        <v/>
      </c>
      <c r="E40" s="172" t="str">
        <f>IF(Бланк!E58="","",Бланк!E58)</f>
        <v/>
      </c>
      <c r="F40" s="172" t="str">
        <f>IF(Бланк!F58="","",Бланк!F58)</f>
        <v/>
      </c>
      <c r="G40" s="172" t="str">
        <f>IF(Бланк!H58="","",Бланк!H58)</f>
        <v/>
      </c>
      <c r="H40" s="172" t="str">
        <f>IF(Бланк!I58="","",Бланк!I58)</f>
        <v/>
      </c>
      <c r="I40" s="173" t="str">
        <f>IF(OR($C40="",$C40=0),"",IF($H40="Пряма з чвертю",(Прайс!$D$39+Прайс!$D$42)*Просчет!$E40,IF(Просчет!$H40="Пряма без чверті",Прайс!$D$39*Просчет!$E40,IF(AND(Просчет!$H40="Шпрос з чвертю",OR($C40&lt;1,$C40=1)),(Прайс!$D$40+Прайс!$D$43)*Просчет!$E40,IF(AND($H40="Шпрос з чвертю",$C40&gt;1),(Прайс!$F$40+Прайс!$D$43)*Просчет!$E40,IF(AND($H40="Шпрос без чверті",OR($C40&lt;1,$C40=1)),Прайс!$D$40*Просчет!$E40,IF(AND($H40="Шпрос без чверті",$C40&gt;1),Прайс!$F$40*Просчет!$E40,"")))))))</f>
        <v/>
      </c>
      <c r="J40" s="174" t="str">
        <f>IF(Бланк!$J58="","",Бланк!$J58/1000)</f>
        <v/>
      </c>
      <c r="K40" s="174">
        <f>Бланк!K58</f>
        <v>0</v>
      </c>
      <c r="L40" s="174">
        <f>Бланк!L58</f>
        <v>0</v>
      </c>
      <c r="M40" s="174">
        <f>Бланк!M58</f>
        <v>0</v>
      </c>
      <c r="N40" s="175">
        <f t="shared" si="0"/>
        <v>0</v>
      </c>
      <c r="O40" s="173">
        <f>IF($K40="","",IF(OR($K40="J № 1",$K40="J № 2",$K40="J № 2L",$K40="J № 2R",$K40="AJ № 2",$K40="AJ № 2L",$K40="AJ № 2R",$K40="U",$K40="V"),$N40*Прайс!$D$46,IF(OR($K40="AJ № 3R",$K40="AJ № 4R",$K40="AJ № 5R",$K40="AJ № 3L",$K40="AJ № 4L",$K40="AJ № 5L",$K40="AJ № 3",$K40="AJ № 4",$K40="AJ № 5",$K40="J № 3",$K40="J № 4",$K40="J № 5",$K40="J № 6",$K40="J № 7",$K40="L",$K40="AL"),Прайс!$D$47*$E40,IF(OR($K40="J № 3L",$K40="J № 3R",$K40="J № 4L",$K40="J № 4R",$K40="J № 5L",$K40="J № 5R"),$N40/2*Прайс!$D$47*$E40,IF($K40="45 град.",$N40*Прайс!$D$45,0)))))</f>
        <v>0</v>
      </c>
      <c r="P40" s="234">
        <f>IF($K40="",0,IF(OR($M40=$S40,$M40=0),0,$N40*Прайс!$D$62))</f>
        <v>0</v>
      </c>
      <c r="Q40" s="176">
        <f>Бланк!N58</f>
        <v>0</v>
      </c>
      <c r="R40" s="177">
        <f>Бланк!R58</f>
        <v>0</v>
      </c>
      <c r="S40" s="177">
        <f>Бланк!S58</f>
        <v>0</v>
      </c>
      <c r="T40" s="177" t="str">
        <f>IF(Бланк!T58="","",Бланк!T58)</f>
        <v/>
      </c>
      <c r="U40" s="177">
        <f>Бланк!U58</f>
        <v>0</v>
      </c>
      <c r="V40" s="177">
        <f>Бланк!AB58</f>
        <v>0</v>
      </c>
      <c r="W40" s="177">
        <f>Бланк!AC58</f>
        <v>0</v>
      </c>
      <c r="X40" s="175">
        <f>IF(OR($C40=0,$C40=""),0,IF(AND(OR($T40="",$T40=0),$V40="Матове",OR($F40=4,$F40=6,$F40=8,$F40=10,$F40=16)),$AG40*Прайс!$F$10,IF(AND(OR($T40="",$T40=0),$V40="Матове+акрил",OR($F40=4,$F40=6,$F40=8,$F40=10,$F40=16)),$AG40*Прайс!#REF!,IF(AND(OR($T40="",$T40=0),$V40="Софт(TS)",OR($F40=4,$F40=6,$F40=8,$F40=10,$F40=16)),$AG40*Прайс!$F$11,IF(AND(OR($T40="",$T40=0),$V40="Глянець",OR($F40=4,$F40=6,$F40=8,$F40=10,$F40=16)),$AG40*Прайс!$F$12,IF(AND(OR($T40="Перл.ср.",$T40="Перл.зол."),OR($F40=4,$F40=6,$F40=8,$F40=10,$F40=16)),$AG40*Прайс!$F$13,IF(AND($T40="Гума",OR($F40=4,$F40=6,$F40=8,$F40=10,$F40=16)),$AG40*Прайс!$F$14,IF(AND($T40="Металік",OR($F40=4,$F40=6,$F40=8,$F40=10,$F40=16)),$AG40*Прайс!$F$15,IF(AND($T40="Рідке скло",OR($F40=4,$F40=6,$F40=8,$F40=10,$F40=16)),$AG40*Прайс!$F$16,IF(AND(OR($T40="Перли",$T40="Графіт"),OR($F40=4,$F40=6,$F40=8,$F40=10,$F40=16)),$AG40*Прайс!$F$17,IF(AND(OR($T40="Зор.н.ср.",$T40="Зор.н.зол.",$T40="Зор.н.різн."),OR($F40=4,$F40=6,$F40=8,$F40=10,$F40=16)),$AG40*Прайс!$F$18,IF(AND(,$T40="2-х кол.х.",OR($F40=4,$F40=6,$F40=8,$F40=10,$F40=16)),$AG40*Прайс!$F$19,IF(AND($T40="3-х кол.х.",OR($F40=4,$F40=6,$F40=8,$F40=10,$F40=16)),$AG40*Прайс!$F$20,IF(AND($T40="Фотодрук",OR($F40=4,$F40=6,$F40=8,$F40=10,$F40=16)),$AG40*Прайс!$F$21,0))))))))))))))</f>
        <v>0</v>
      </c>
      <c r="Y40" s="175">
        <f>IF(OR($C40=0,$C40=""),0,IF(AND(OR($T40="",$T40=0),$V40="Матове",$F40=19),$AG40*Прайс!$G$10,IF(AND(OR($T40="",$T40=0),$V40="Матове+акрил",$F40=19),$AG40*Прайс!#REF!,IF(AND(OR($T40="",$T40=0),$V40="Софт(TS)",$F40=19),$AG40*Прайс!$G$11,IF(AND(OR($T40="",$T40=0),$V40="Глянець",$F40=19),$AG40*Прайс!$G$12,IF(AND(OR($T40="Перл.ср.",$T40="Перл.зол."),$F40=19),$AG40*Прайс!$G$13,IF(AND($T40="Гума",$F40=19),$AG40*Прайс!$G$14,IF(AND($T40="Металік",$F40=19),$AG40*Прайс!$G$15,IF(AND($T40="Рідке скло",$F40=19),$AG40*Прайс!$G$16,IF(AND(OR($T40="Перли",$T40="Графіт"),$F40=19),$AG40*Прайс!$G$17,IF(AND(OR($T40="Зор.н.ср.",$T40="Зор.н.зол.",$T40="Зор.н.різн."),$F40=19),$AG40*Прайс!$G$18,IF(AND($T40="2-х кол.х.",$F40=19),$AG40*Прайс!$G$19,IF(AND($T40="3-х кол.х.",$F40=19),$AG40*Прайс!$G$20,IF(AND($T40="Фотодрук",$F40=19),$AG40*Прайс!$G$21,0))))))))))))))</f>
        <v>0</v>
      </c>
      <c r="Z40" s="175">
        <f>IF(OR($C40=0,$C40=""),0,IF(AND(OR($T40="",$T40=0),$W40="Матове",OR($F40=4,$F40=6,$F40=8,$F40=10,$F40=16,$F40=19)),$AG40*(Прайс!$F$10-500),IF(AND(OR($T40="",$T40=0),$W40="Матове+акрил",OR($F40=4,$F40=6,$F40=8,$F40=10,$F40=16,$F40=19)),$AG40*(Прайс!#REF!-500),IF(AND(OR($T40="",$T40=0),$W40="Софт(TS)",OR($F40=4,$F40=6,$F40=8,$F40=10,$F40=16,$F40=19)),$AG40*(Прайс!$F$11-500),IF(AND(OR($T40="",$T40=0),$W40="Глянець",OR($F40=4,$F40=6,$F40=8,$F40=10,$F40=16,$F40=19)),$AG40*(Прайс!$F$12-500),IF(AND(OR($T40="Перл.ср.",$T40="Перл.зол."),OR($F40=4,$F40=6,$F40=8,$F40=10,$F40=16,$F40=19)),$AG40*(Прайс!$F$13-500),IF(AND($T40="Гума",OR($F40=4,$F40=6,$F40=8,$F40=10,$F40=16,$F40=19)),$AG40*(Прайс!$F$14-500),IF(AND($T40="Металік",OR($F40=4,$F40=6,$F40=8,$F40=10,$F40=16,$F40=19)),$AG40*(Прайс!$F$15-500),IF(AND($T40="Рідке скло",OR($F40=4,$F40=6,$F40=8,$F40=10,$F40=16,$F40=19)),$AG40*(Прайс!$F$16-500),IF(AND(OR($T40="Перли",$T40="Графіт"),OR($F40=4,$F40=6,$F40=8,$F40=10,$F40=16,$F40=19)),$AG40*(Прайс!$F$17-500),IF(AND(OR($T40="Зор.н.ср.",$T40="Зор.н.зол.",$T40="Зор.н.різн."),OR($F40=4,$F40=6,$F40=8,$F40=10,$F40=16,$F40=19)),$AG40*(Прайс!$F$18-500),IF(AND(,$T40="2-х кол.х.",OR($F40=4,$F40=6,$F40=8,$F40=10,$F40=16,$F40=19)),$AG40*(Прайс!$F$19-500),IF(AND($T40="3-х кол.х.",OR($F40=4,$F40=6,$F40=8,$F40=10,$F40=16,$F40=19)),$AG40*(Прайс!$F$20-500),IF(AND($T40="Фотодрук",OR($F40=4,$F40=6,$F40=8,$F40=10,$F40=16,$F40=19)),$AG40*(Прайс!$F$21-500),0))))))))))))))</f>
        <v>0</v>
      </c>
      <c r="AA40" s="178">
        <f>IF(Бланк!AD58=0,0,Бланк!AD58*E40)</f>
        <v>0</v>
      </c>
      <c r="AB40" s="178">
        <f>Бланк!AE58</f>
        <v>0</v>
      </c>
      <c r="AC40" s="175">
        <f>IF(OR(AA$3=0,$AA40=""),0,$AA40*Прайс!$D$49)</f>
        <v>0</v>
      </c>
      <c r="AD40" s="178">
        <f>Бланк!AF58</f>
        <v>0</v>
      </c>
      <c r="AE40" s="178">
        <f>Бланк!AG58</f>
        <v>0</v>
      </c>
      <c r="AF40" s="178">
        <f>Бланк!AH58</f>
        <v>0</v>
      </c>
      <c r="AG40" s="123">
        <f>Бланк!$AI58</f>
        <v>0</v>
      </c>
      <c r="AH40" s="183"/>
      <c r="AI40" s="183"/>
      <c r="AJ40" s="183"/>
      <c r="AK40" s="183"/>
      <c r="AL40" s="184"/>
      <c r="AM40" s="184"/>
      <c r="AN40" s="184"/>
      <c r="AO40" s="184"/>
      <c r="AP40" s="185"/>
      <c r="AQ40" s="181"/>
    </row>
    <row r="41" spans="2:43" s="186" customFormat="1" ht="21" customHeight="1" x14ac:dyDescent="0.3">
      <c r="B41" s="182">
        <v>39</v>
      </c>
      <c r="C41" s="170" t="str">
        <f>IF(Бланк!$C59="","",Бланк!$C59/1000)</f>
        <v/>
      </c>
      <c r="D41" s="171" t="str">
        <f>IF(Бланк!$D59="","",Бланк!$D59/1000)</f>
        <v/>
      </c>
      <c r="E41" s="172" t="str">
        <f>IF(Бланк!E59="","",Бланк!E59)</f>
        <v/>
      </c>
      <c r="F41" s="172" t="str">
        <f>IF(Бланк!F59="","",Бланк!F59)</f>
        <v/>
      </c>
      <c r="G41" s="172" t="str">
        <f>IF(Бланк!H59="","",Бланк!H59)</f>
        <v/>
      </c>
      <c r="H41" s="172" t="str">
        <f>IF(Бланк!I59="","",Бланк!I59)</f>
        <v/>
      </c>
      <c r="I41" s="173" t="str">
        <f>IF(OR($C41="",$C41=0),"",IF($H41="Пряма з чвертю",(Прайс!$D$39+Прайс!$D$42)*Просчет!$E41,IF(Просчет!$H41="Пряма без чверті",Прайс!$D$39*Просчет!$E41,IF(AND(Просчет!$H41="Шпрос з чвертю",OR($C41&lt;1,$C41=1)),(Прайс!$D$40+Прайс!$D$43)*Просчет!$E41,IF(AND($H41="Шпрос з чвертю",$C41&gt;1),(Прайс!$F$40+Прайс!$D$43)*Просчет!$E41,IF(AND($H41="Шпрос без чверті",OR($C41&lt;1,$C41=1)),Прайс!$D$40*Просчет!$E41,IF(AND($H41="Шпрос без чверті",$C41&gt;1),Прайс!$F$40*Просчет!$E41,"")))))))</f>
        <v/>
      </c>
      <c r="J41" s="174" t="str">
        <f>IF(Бланк!$J59="","",Бланк!$J59/1000)</f>
        <v/>
      </c>
      <c r="K41" s="174">
        <f>Бланк!K59</f>
        <v>0</v>
      </c>
      <c r="L41" s="174">
        <f>Бланк!L59</f>
        <v>0</v>
      </c>
      <c r="M41" s="174">
        <f>Бланк!M59</f>
        <v>0</v>
      </c>
      <c r="N41" s="175">
        <f t="shared" si="0"/>
        <v>0</v>
      </c>
      <c r="O41" s="173">
        <f>IF($K41="","",IF(OR($K41="J № 1",$K41="J № 2",$K41="J № 2L",$K41="J № 2R",$K41="AJ № 2",$K41="AJ № 2L",$K41="AJ № 2R",$K41="U",$K41="V"),$N41*Прайс!$D$46,IF(OR($K41="AJ № 3R",$K41="AJ № 4R",$K41="AJ № 5R",$K41="AJ № 3L",$K41="AJ № 4L",$K41="AJ № 5L",$K41="AJ № 3",$K41="AJ № 4",$K41="AJ № 5",$K41="J № 3",$K41="J № 4",$K41="J № 5",$K41="J № 6",$K41="J № 7",$K41="L",$K41="AL"),Прайс!$D$47*$E41,IF(OR($K41="J № 3L",$K41="J № 3R",$K41="J № 4L",$K41="J № 4R",$K41="J № 5L",$K41="J № 5R"),$N41/2*Прайс!$D$47*$E41,IF($K41="45 град.",$N41*Прайс!$D$45,0)))))</f>
        <v>0</v>
      </c>
      <c r="P41" s="234">
        <f>IF($K41="",0,IF(OR($M41=$S41,$M41=0),0,$N41*Прайс!$D$62))</f>
        <v>0</v>
      </c>
      <c r="Q41" s="176">
        <f>Бланк!N59</f>
        <v>0</v>
      </c>
      <c r="R41" s="177">
        <f>Бланк!R59</f>
        <v>0</v>
      </c>
      <c r="S41" s="177">
        <f>Бланк!S59</f>
        <v>0</v>
      </c>
      <c r="T41" s="177" t="str">
        <f>IF(Бланк!T59="","",Бланк!T59)</f>
        <v/>
      </c>
      <c r="U41" s="177">
        <f>Бланк!U59</f>
        <v>0</v>
      </c>
      <c r="V41" s="177">
        <f>Бланк!AB59</f>
        <v>0</v>
      </c>
      <c r="W41" s="177">
        <f>Бланк!AC59</f>
        <v>0</v>
      </c>
      <c r="X41" s="175">
        <f>IF(OR($C41=0,$C41=""),0,IF(AND(OR($T41="",$T41=0),$V41="Матове",OR($F41=4,$F41=6,$F41=8,$F41=10,$F41=16)),$AG41*Прайс!$F$10,IF(AND(OR($T41="",$T41=0),$V41="Матове+акрил",OR($F41=4,$F41=6,$F41=8,$F41=10,$F41=16)),$AG41*Прайс!#REF!,IF(AND(OR($T41="",$T41=0),$V41="Софт(TS)",OR($F41=4,$F41=6,$F41=8,$F41=10,$F41=16)),$AG41*Прайс!$F$11,IF(AND(OR($T41="",$T41=0),$V41="Глянець",OR($F41=4,$F41=6,$F41=8,$F41=10,$F41=16)),$AG41*Прайс!$F$12,IF(AND(OR($T41="Перл.ср.",$T41="Перл.зол."),OR($F41=4,$F41=6,$F41=8,$F41=10,$F41=16)),$AG41*Прайс!$F$13,IF(AND($T41="Гума",OR($F41=4,$F41=6,$F41=8,$F41=10,$F41=16)),$AG41*Прайс!$F$14,IF(AND($T41="Металік",OR($F41=4,$F41=6,$F41=8,$F41=10,$F41=16)),$AG41*Прайс!$F$15,IF(AND($T41="Рідке скло",OR($F41=4,$F41=6,$F41=8,$F41=10,$F41=16)),$AG41*Прайс!$F$16,IF(AND(OR($T41="Перли",$T41="Графіт"),OR($F41=4,$F41=6,$F41=8,$F41=10,$F41=16)),$AG41*Прайс!$F$17,IF(AND(OR($T41="Зор.н.ср.",$T41="Зор.н.зол.",$T41="Зор.н.різн."),OR($F41=4,$F41=6,$F41=8,$F41=10,$F41=16)),$AG41*Прайс!$F$18,IF(AND(,$T41="2-х кол.х.",OR($F41=4,$F41=6,$F41=8,$F41=10,$F41=16)),$AG41*Прайс!$F$19,IF(AND($T41="3-х кол.х.",OR($F41=4,$F41=6,$F41=8,$F41=10,$F41=16)),$AG41*Прайс!$F$20,IF(AND($T41="Фотодрук",OR($F41=4,$F41=6,$F41=8,$F41=10,$F41=16)),$AG41*Прайс!$F$21,0))))))))))))))</f>
        <v>0</v>
      </c>
      <c r="Y41" s="175">
        <f>IF(OR($C41=0,$C41=""),0,IF(AND(OR($T41="",$T41=0),$V41="Матове",$F41=19),$AG41*Прайс!$G$10,IF(AND(OR($T41="",$T41=0),$V41="Матове+акрил",$F41=19),$AG41*Прайс!#REF!,IF(AND(OR($T41="",$T41=0),$V41="Софт(TS)",$F41=19),$AG41*Прайс!$G$11,IF(AND(OR($T41="",$T41=0),$V41="Глянець",$F41=19),$AG41*Прайс!$G$12,IF(AND(OR($T41="Перл.ср.",$T41="Перл.зол."),$F41=19),$AG41*Прайс!$G$13,IF(AND($T41="Гума",$F41=19),$AG41*Прайс!$G$14,IF(AND($T41="Металік",$F41=19),$AG41*Прайс!$G$15,IF(AND($T41="Рідке скло",$F41=19),$AG41*Прайс!$G$16,IF(AND(OR($T41="Перли",$T41="Графіт"),$F41=19),$AG41*Прайс!$G$17,IF(AND(OR($T41="Зор.н.ср.",$T41="Зор.н.зол.",$T41="Зор.н.різн."),$F41=19),$AG41*Прайс!$G$18,IF(AND($T41="2-х кол.х.",$F41=19),$AG41*Прайс!$G$19,IF(AND($T41="3-х кол.х.",$F41=19),$AG41*Прайс!$G$20,IF(AND($T41="Фотодрук",$F41=19),$AG41*Прайс!$G$21,0))))))))))))))</f>
        <v>0</v>
      </c>
      <c r="Z41" s="175">
        <f>IF(OR($C41=0,$C41=""),0,IF(AND(OR($T41="",$T41=0),$W41="Матове",OR($F41=4,$F41=6,$F41=8,$F41=10,$F41=16,$F41=19)),$AG41*(Прайс!$F$10-500),IF(AND(OR($T41="",$T41=0),$W41="Матове+акрил",OR($F41=4,$F41=6,$F41=8,$F41=10,$F41=16,$F41=19)),$AG41*(Прайс!#REF!-500),IF(AND(OR($T41="",$T41=0),$W41="Софт(TS)",OR($F41=4,$F41=6,$F41=8,$F41=10,$F41=16,$F41=19)),$AG41*(Прайс!$F$11-500),IF(AND(OR($T41="",$T41=0),$W41="Глянець",OR($F41=4,$F41=6,$F41=8,$F41=10,$F41=16,$F41=19)),$AG41*(Прайс!$F$12-500),IF(AND(OR($T41="Перл.ср.",$T41="Перл.зол."),OR($F41=4,$F41=6,$F41=8,$F41=10,$F41=16,$F41=19)),$AG41*(Прайс!$F$13-500),IF(AND($T41="Гума",OR($F41=4,$F41=6,$F41=8,$F41=10,$F41=16,$F41=19)),$AG41*(Прайс!$F$14-500),IF(AND($T41="Металік",OR($F41=4,$F41=6,$F41=8,$F41=10,$F41=16,$F41=19)),$AG41*(Прайс!$F$15-500),IF(AND($T41="Рідке скло",OR($F41=4,$F41=6,$F41=8,$F41=10,$F41=16,$F41=19)),$AG41*(Прайс!$F$16-500),IF(AND(OR($T41="Перли",$T41="Графіт"),OR($F41=4,$F41=6,$F41=8,$F41=10,$F41=16,$F41=19)),$AG41*(Прайс!$F$17-500),IF(AND(OR($T41="Зор.н.ср.",$T41="Зор.н.зол.",$T41="Зор.н.різн."),OR($F41=4,$F41=6,$F41=8,$F41=10,$F41=16,$F41=19)),$AG41*(Прайс!$F$18-500),IF(AND(,$T41="2-х кол.х.",OR($F41=4,$F41=6,$F41=8,$F41=10,$F41=16,$F41=19)),$AG41*(Прайс!$F$19-500),IF(AND($T41="3-х кол.х.",OR($F41=4,$F41=6,$F41=8,$F41=10,$F41=16,$F41=19)),$AG41*(Прайс!$F$20-500),IF(AND($T41="Фотодрук",OR($F41=4,$F41=6,$F41=8,$F41=10,$F41=16,$F41=19)),$AG41*(Прайс!$F$21-500),0))))))))))))))</f>
        <v>0</v>
      </c>
      <c r="AA41" s="178">
        <f>IF(Бланк!AD59=0,0,Бланк!AD59*E41)</f>
        <v>0</v>
      </c>
      <c r="AB41" s="178">
        <f>Бланк!AE59</f>
        <v>0</v>
      </c>
      <c r="AC41" s="175">
        <f>IF(OR(AA$3=0,$AA41=""),0,$AA41*Прайс!$D$49)</f>
        <v>0</v>
      </c>
      <c r="AD41" s="178">
        <f>Бланк!AF59</f>
        <v>0</v>
      </c>
      <c r="AE41" s="178">
        <f>Бланк!AG59</f>
        <v>0</v>
      </c>
      <c r="AF41" s="178">
        <f>Бланк!AH59</f>
        <v>0</v>
      </c>
      <c r="AG41" s="123">
        <f>Бланк!$AI59</f>
        <v>0</v>
      </c>
      <c r="AH41" s="183"/>
      <c r="AI41" s="183"/>
      <c r="AJ41" s="183"/>
      <c r="AK41" s="183"/>
      <c r="AL41" s="184"/>
      <c r="AM41" s="184"/>
      <c r="AN41" s="184"/>
      <c r="AO41" s="184"/>
      <c r="AP41" s="185"/>
      <c r="AQ41" s="181"/>
    </row>
    <row r="42" spans="2:43" s="186" customFormat="1" ht="21" customHeight="1" x14ac:dyDescent="0.3">
      <c r="B42" s="182">
        <v>40</v>
      </c>
      <c r="C42" s="170" t="str">
        <f>IF(Бланк!$C60="","",Бланк!$C60/1000)</f>
        <v/>
      </c>
      <c r="D42" s="171" t="str">
        <f>IF(Бланк!$D60="","",Бланк!$D60/1000)</f>
        <v/>
      </c>
      <c r="E42" s="172" t="str">
        <f>IF(Бланк!E60="","",Бланк!E60)</f>
        <v/>
      </c>
      <c r="F42" s="172" t="str">
        <f>IF(Бланк!F60="","",Бланк!F60)</f>
        <v/>
      </c>
      <c r="G42" s="172" t="str">
        <f>IF(Бланк!H60="","",Бланк!H60)</f>
        <v/>
      </c>
      <c r="H42" s="172" t="str">
        <f>IF(Бланк!I60="","",Бланк!I60)</f>
        <v/>
      </c>
      <c r="I42" s="173" t="str">
        <f>IF(OR($C42="",$C42=0),"",IF($H42="Пряма з чвертю",(Прайс!$D$39+Прайс!$D$42)*Просчет!$E42,IF(Просчет!$H42="Пряма без чверті",Прайс!$D$39*Просчет!$E42,IF(AND(Просчет!$H42="Шпрос з чвертю",OR($C42&lt;1,$C42=1)),(Прайс!$D$40+Прайс!$D$43)*Просчет!$E42,IF(AND($H42="Шпрос з чвертю",$C42&gt;1),(Прайс!$F$40+Прайс!$D$43)*Просчет!$E42,IF(AND($H42="Шпрос без чверті",OR($C42&lt;1,$C42=1)),Прайс!$D$40*Просчет!$E42,IF(AND($H42="Шпрос без чверті",$C42&gt;1),Прайс!$F$40*Просчет!$E42,"")))))))</f>
        <v/>
      </c>
      <c r="J42" s="174" t="str">
        <f>IF(Бланк!$J60="","",Бланк!$J60/1000)</f>
        <v/>
      </c>
      <c r="K42" s="174">
        <f>Бланк!K60</f>
        <v>0</v>
      </c>
      <c r="L42" s="174">
        <f>Бланк!L60</f>
        <v>0</v>
      </c>
      <c r="M42" s="174">
        <f>Бланк!M60</f>
        <v>0</v>
      </c>
      <c r="N42" s="175">
        <f t="shared" si="0"/>
        <v>0</v>
      </c>
      <c r="O42" s="173">
        <f>IF($K42="","",IF(OR($K42="J № 1",$K42="J № 2",$K42="J № 2L",$K42="J № 2R",$K42="AJ № 2",$K42="AJ № 2L",$K42="AJ № 2R",$K42="U",$K42="V"),$N42*Прайс!$D$46,IF(OR($K42="AJ № 3R",$K42="AJ № 4R",$K42="AJ № 5R",$K42="AJ № 3L",$K42="AJ № 4L",$K42="AJ № 5L",$K42="AJ № 3",$K42="AJ № 4",$K42="AJ № 5",$K42="J № 3",$K42="J № 4",$K42="J № 5",$K42="J № 6",$K42="J № 7",$K42="L",$K42="AL"),Прайс!$D$47*$E42,IF(OR($K42="J № 3L",$K42="J № 3R",$K42="J № 4L",$K42="J № 4R",$K42="J № 5L",$K42="J № 5R"),$N42/2*Прайс!$D$47*$E42,IF($K42="45 град.",$N42*Прайс!$D$45,0)))))</f>
        <v>0</v>
      </c>
      <c r="P42" s="234">
        <f>IF($K42="",0,IF(OR($M42=$S42,$M42=0),0,$N42*Прайс!$D$62))</f>
        <v>0</v>
      </c>
      <c r="Q42" s="176">
        <f>Бланк!N60</f>
        <v>0</v>
      </c>
      <c r="R42" s="177">
        <f>Бланк!R60</f>
        <v>0</v>
      </c>
      <c r="S42" s="177">
        <f>Бланк!S60</f>
        <v>0</v>
      </c>
      <c r="T42" s="177" t="str">
        <f>IF(Бланк!T60="","",Бланк!T60)</f>
        <v/>
      </c>
      <c r="U42" s="177">
        <f>Бланк!U60</f>
        <v>0</v>
      </c>
      <c r="V42" s="177">
        <f>Бланк!AB60</f>
        <v>0</v>
      </c>
      <c r="W42" s="177">
        <f>Бланк!AC60</f>
        <v>0</v>
      </c>
      <c r="X42" s="175">
        <f>IF(OR($C42=0,$C42=""),0,IF(AND(OR($T42="",$T42=0),$V42="Матове",OR($F42=4,$F42=6,$F42=8,$F42=10,$F42=16)),$AG42*Прайс!$F$10,IF(AND(OR($T42="",$T42=0),$V42="Матове+акрил",OR($F42=4,$F42=6,$F42=8,$F42=10,$F42=16)),$AG42*Прайс!#REF!,IF(AND(OR($T42="",$T42=0),$V42="Софт(TS)",OR($F42=4,$F42=6,$F42=8,$F42=10,$F42=16)),$AG42*Прайс!$F$11,IF(AND(OR($T42="",$T42=0),$V42="Глянець",OR($F42=4,$F42=6,$F42=8,$F42=10,$F42=16)),$AG42*Прайс!$F$12,IF(AND(OR($T42="Перл.ср.",$T42="Перл.зол."),OR($F42=4,$F42=6,$F42=8,$F42=10,$F42=16)),$AG42*Прайс!$F$13,IF(AND($T42="Гума",OR($F42=4,$F42=6,$F42=8,$F42=10,$F42=16)),$AG42*Прайс!$F$14,IF(AND($T42="Металік",OR($F42=4,$F42=6,$F42=8,$F42=10,$F42=16)),$AG42*Прайс!$F$15,IF(AND($T42="Рідке скло",OR($F42=4,$F42=6,$F42=8,$F42=10,$F42=16)),$AG42*Прайс!$F$16,IF(AND(OR($T42="Перли",$T42="Графіт"),OR($F42=4,$F42=6,$F42=8,$F42=10,$F42=16)),$AG42*Прайс!$F$17,IF(AND(OR($T42="Зор.н.ср.",$T42="Зор.н.зол.",$T42="Зор.н.різн."),OR($F42=4,$F42=6,$F42=8,$F42=10,$F42=16)),$AG42*Прайс!$F$18,IF(AND(,$T42="2-х кол.х.",OR($F42=4,$F42=6,$F42=8,$F42=10,$F42=16)),$AG42*Прайс!$F$19,IF(AND($T42="3-х кол.х.",OR($F42=4,$F42=6,$F42=8,$F42=10,$F42=16)),$AG42*Прайс!$F$20,IF(AND($T42="Фотодрук",OR($F42=4,$F42=6,$F42=8,$F42=10,$F42=16)),$AG42*Прайс!$F$21,0))))))))))))))</f>
        <v>0</v>
      </c>
      <c r="Y42" s="175">
        <f>IF(OR($C42=0,$C42=""),0,IF(AND(OR($T42="",$T42=0),$V42="Матове",$F42=19),$AG42*Прайс!$G$10,IF(AND(OR($T42="",$T42=0),$V42="Матове+акрил",$F42=19),$AG42*Прайс!#REF!,IF(AND(OR($T42="",$T42=0),$V42="Софт(TS)",$F42=19),$AG42*Прайс!$G$11,IF(AND(OR($T42="",$T42=0),$V42="Глянець",$F42=19),$AG42*Прайс!$G$12,IF(AND(OR($T42="Перл.ср.",$T42="Перл.зол."),$F42=19),$AG42*Прайс!$G$13,IF(AND($T42="Гума",$F42=19),$AG42*Прайс!$G$14,IF(AND($T42="Металік",$F42=19),$AG42*Прайс!$G$15,IF(AND($T42="Рідке скло",$F42=19),$AG42*Прайс!$G$16,IF(AND(OR($T42="Перли",$T42="Графіт"),$F42=19),$AG42*Прайс!$G$17,IF(AND(OR($T42="Зор.н.ср.",$T42="Зор.н.зол.",$T42="Зор.н.різн."),$F42=19),$AG42*Прайс!$G$18,IF(AND($T42="2-х кол.х.",$F42=19),$AG42*Прайс!$G$19,IF(AND($T42="3-х кол.х.",$F42=19),$AG42*Прайс!$G$20,IF(AND($T42="Фотодрук",$F42=19),$AG42*Прайс!$G$21,0))))))))))))))</f>
        <v>0</v>
      </c>
      <c r="Z42" s="175">
        <f>IF(OR($C42=0,$C42=""),0,IF(AND(OR($T42="",$T42=0),$W42="Матове",OR($F42=4,$F42=6,$F42=8,$F42=10,$F42=16,$F42=19)),$AG42*(Прайс!$F$10-500),IF(AND(OR($T42="",$T42=0),$W42="Матове+акрил",OR($F42=4,$F42=6,$F42=8,$F42=10,$F42=16,$F42=19)),$AG42*(Прайс!#REF!-500),IF(AND(OR($T42="",$T42=0),$W42="Софт(TS)",OR($F42=4,$F42=6,$F42=8,$F42=10,$F42=16,$F42=19)),$AG42*(Прайс!$F$11-500),IF(AND(OR($T42="",$T42=0),$W42="Глянець",OR($F42=4,$F42=6,$F42=8,$F42=10,$F42=16,$F42=19)),$AG42*(Прайс!$F$12-500),IF(AND(OR($T42="Перл.ср.",$T42="Перл.зол."),OR($F42=4,$F42=6,$F42=8,$F42=10,$F42=16,$F42=19)),$AG42*(Прайс!$F$13-500),IF(AND($T42="Гума",OR($F42=4,$F42=6,$F42=8,$F42=10,$F42=16,$F42=19)),$AG42*(Прайс!$F$14-500),IF(AND($T42="Металік",OR($F42=4,$F42=6,$F42=8,$F42=10,$F42=16,$F42=19)),$AG42*(Прайс!$F$15-500),IF(AND($T42="Рідке скло",OR($F42=4,$F42=6,$F42=8,$F42=10,$F42=16,$F42=19)),$AG42*(Прайс!$F$16-500),IF(AND(OR($T42="Перли",$T42="Графіт"),OR($F42=4,$F42=6,$F42=8,$F42=10,$F42=16,$F42=19)),$AG42*(Прайс!$F$17-500),IF(AND(OR($T42="Зор.н.ср.",$T42="Зор.н.зол.",$T42="Зор.н.різн."),OR($F42=4,$F42=6,$F42=8,$F42=10,$F42=16,$F42=19)),$AG42*(Прайс!$F$18-500),IF(AND(,$T42="2-х кол.х.",OR($F42=4,$F42=6,$F42=8,$F42=10,$F42=16,$F42=19)),$AG42*(Прайс!$F$19-500),IF(AND($T42="3-х кол.х.",OR($F42=4,$F42=6,$F42=8,$F42=10,$F42=16,$F42=19)),$AG42*(Прайс!$F$20-500),IF(AND($T42="Фотодрук",OR($F42=4,$F42=6,$F42=8,$F42=10,$F42=16,$F42=19)),$AG42*(Прайс!$F$21-500),0))))))))))))))</f>
        <v>0</v>
      </c>
      <c r="AA42" s="178">
        <f>IF(Бланк!AD60=0,0,Бланк!AD60*E42)</f>
        <v>0</v>
      </c>
      <c r="AB42" s="178">
        <f>Бланк!AE60</f>
        <v>0</v>
      </c>
      <c r="AC42" s="175">
        <f>IF(OR(AA$3=0,$AA42=""),0,$AA42*Прайс!$D$49)</f>
        <v>0</v>
      </c>
      <c r="AD42" s="178">
        <f>Бланк!AF60</f>
        <v>0</v>
      </c>
      <c r="AE42" s="178">
        <f>Бланк!AG60</f>
        <v>0</v>
      </c>
      <c r="AF42" s="178">
        <f>Бланк!AH60</f>
        <v>0</v>
      </c>
      <c r="AG42" s="123">
        <f>Бланк!$AI60</f>
        <v>0</v>
      </c>
      <c r="AH42" s="183"/>
      <c r="AI42" s="183"/>
      <c r="AJ42" s="183"/>
      <c r="AK42" s="183"/>
      <c r="AL42" s="184"/>
      <c r="AM42" s="184"/>
      <c r="AN42" s="184"/>
      <c r="AO42" s="184"/>
      <c r="AP42" s="185"/>
      <c r="AQ42" s="181"/>
    </row>
    <row r="43" spans="2:43" s="186" customFormat="1" ht="21" customHeight="1" x14ac:dyDescent="0.3">
      <c r="B43" s="182">
        <v>41</v>
      </c>
      <c r="C43" s="170" t="str">
        <f>IF(Бланк!$C61="","",Бланк!$C61/1000)</f>
        <v/>
      </c>
      <c r="D43" s="171" t="str">
        <f>IF(Бланк!$D61="","",Бланк!$D61/1000)</f>
        <v/>
      </c>
      <c r="E43" s="172" t="str">
        <f>IF(Бланк!E61="","",Бланк!E61)</f>
        <v/>
      </c>
      <c r="F43" s="172" t="str">
        <f>IF(Бланк!F61="","",Бланк!F61)</f>
        <v/>
      </c>
      <c r="G43" s="172" t="str">
        <f>IF(Бланк!H61="","",Бланк!H61)</f>
        <v/>
      </c>
      <c r="H43" s="172" t="str">
        <f>IF(Бланк!I61="","",Бланк!I61)</f>
        <v/>
      </c>
      <c r="I43" s="173" t="str">
        <f>IF(OR($C43="",$C43=0),"",IF($H43="Пряма з чвертю",(Прайс!$D$39+Прайс!$D$42)*Просчет!$E43,IF(Просчет!$H43="Пряма без чверті",Прайс!$D$39*Просчет!$E43,IF(AND(Просчет!$H43="Шпрос з чвертю",OR($C43&lt;1,$C43=1)),(Прайс!$D$40+Прайс!$D$43)*Просчет!$E43,IF(AND($H43="Шпрос з чвертю",$C43&gt;1),(Прайс!$F$40+Прайс!$D$43)*Просчет!$E43,IF(AND($H43="Шпрос без чверті",OR($C43&lt;1,$C43=1)),Прайс!$D$40*Просчет!$E43,IF(AND($H43="Шпрос без чверті",$C43&gt;1),Прайс!$F$40*Просчет!$E43,"")))))))</f>
        <v/>
      </c>
      <c r="J43" s="174" t="str">
        <f>IF(Бланк!$J61="","",Бланк!$J61/1000)</f>
        <v/>
      </c>
      <c r="K43" s="174">
        <f>Бланк!K61</f>
        <v>0</v>
      </c>
      <c r="L43" s="174">
        <f>Бланк!L61</f>
        <v>0</v>
      </c>
      <c r="M43" s="174">
        <f>Бланк!M61</f>
        <v>0</v>
      </c>
      <c r="N43" s="175">
        <f t="shared" si="0"/>
        <v>0</v>
      </c>
      <c r="O43" s="173">
        <f>IF($K43="","",IF(OR($K43="J № 1",$K43="J № 2",$K43="J № 2L",$K43="J № 2R",$K43="AJ № 2",$K43="AJ № 2L",$K43="AJ № 2R",$K43="U",$K43="V"),$N43*Прайс!$D$46,IF(OR($K43="AJ № 3R",$K43="AJ № 4R",$K43="AJ № 5R",$K43="AJ № 3L",$K43="AJ № 4L",$K43="AJ № 5L",$K43="AJ № 3",$K43="AJ № 4",$K43="AJ № 5",$K43="J № 3",$K43="J № 4",$K43="J № 5",$K43="J № 6",$K43="J № 7",$K43="L",$K43="AL"),Прайс!$D$47*$E43,IF(OR($K43="J № 3L",$K43="J № 3R",$K43="J № 4L",$K43="J № 4R",$K43="J № 5L",$K43="J № 5R"),$N43/2*Прайс!$D$47*$E43,IF($K43="45 град.",$N43*Прайс!$D$45,0)))))</f>
        <v>0</v>
      </c>
      <c r="P43" s="234">
        <f>IF($K43="",0,IF(OR($M43=$S43,$M43=0),0,$N43*Прайс!$D$62))</f>
        <v>0</v>
      </c>
      <c r="Q43" s="176">
        <f>Бланк!N61</f>
        <v>0</v>
      </c>
      <c r="R43" s="177">
        <f>Бланк!R61</f>
        <v>0</v>
      </c>
      <c r="S43" s="177">
        <f>Бланк!S61</f>
        <v>0</v>
      </c>
      <c r="T43" s="177" t="str">
        <f>IF(Бланк!T61="","",Бланк!T61)</f>
        <v/>
      </c>
      <c r="U43" s="177">
        <f>Бланк!U61</f>
        <v>0</v>
      </c>
      <c r="V43" s="177">
        <f>Бланк!AB61</f>
        <v>0</v>
      </c>
      <c r="W43" s="177">
        <f>Бланк!AC61</f>
        <v>0</v>
      </c>
      <c r="X43" s="175">
        <f>IF(OR($C43=0,$C43=""),0,IF(AND(OR($T43="",$T43=0),$V43="Матове",OR($F43=4,$F43=6,$F43=8,$F43=10,$F43=16)),$AG43*Прайс!$F$10,IF(AND(OR($T43="",$T43=0),$V43="Матове+акрил",OR($F43=4,$F43=6,$F43=8,$F43=10,$F43=16)),$AG43*Прайс!#REF!,IF(AND(OR($T43="",$T43=0),$V43="Софт(TS)",OR($F43=4,$F43=6,$F43=8,$F43=10,$F43=16)),$AG43*Прайс!$F$11,IF(AND(OR($T43="",$T43=0),$V43="Глянець",OR($F43=4,$F43=6,$F43=8,$F43=10,$F43=16)),$AG43*Прайс!$F$12,IF(AND(OR($T43="Перл.ср.",$T43="Перл.зол."),OR($F43=4,$F43=6,$F43=8,$F43=10,$F43=16)),$AG43*Прайс!$F$13,IF(AND($T43="Гума",OR($F43=4,$F43=6,$F43=8,$F43=10,$F43=16)),$AG43*Прайс!$F$14,IF(AND($T43="Металік",OR($F43=4,$F43=6,$F43=8,$F43=10,$F43=16)),$AG43*Прайс!$F$15,IF(AND($T43="Рідке скло",OR($F43=4,$F43=6,$F43=8,$F43=10,$F43=16)),$AG43*Прайс!$F$16,IF(AND(OR($T43="Перли",$T43="Графіт"),OR($F43=4,$F43=6,$F43=8,$F43=10,$F43=16)),$AG43*Прайс!$F$17,IF(AND(OR($T43="Зор.н.ср.",$T43="Зор.н.зол.",$T43="Зор.н.різн."),OR($F43=4,$F43=6,$F43=8,$F43=10,$F43=16)),$AG43*Прайс!$F$18,IF(AND(,$T43="2-х кол.х.",OR($F43=4,$F43=6,$F43=8,$F43=10,$F43=16)),$AG43*Прайс!$F$19,IF(AND($T43="3-х кол.х.",OR($F43=4,$F43=6,$F43=8,$F43=10,$F43=16)),$AG43*Прайс!$F$20,IF(AND($T43="Фотодрук",OR($F43=4,$F43=6,$F43=8,$F43=10,$F43=16)),$AG43*Прайс!$F$21,0))))))))))))))</f>
        <v>0</v>
      </c>
      <c r="Y43" s="175">
        <f>IF(OR($C43=0,$C43=""),0,IF(AND(OR($T43="",$T43=0),$V43="Матове",$F43=19),$AG43*Прайс!$G$10,IF(AND(OR($T43="",$T43=0),$V43="Матове+акрил",$F43=19),$AG43*Прайс!#REF!,IF(AND(OR($T43="",$T43=0),$V43="Софт(TS)",$F43=19),$AG43*Прайс!$G$11,IF(AND(OR($T43="",$T43=0),$V43="Глянець",$F43=19),$AG43*Прайс!$G$12,IF(AND(OR($T43="Перл.ср.",$T43="Перл.зол."),$F43=19),$AG43*Прайс!$G$13,IF(AND($T43="Гума",$F43=19),$AG43*Прайс!$G$14,IF(AND($T43="Металік",$F43=19),$AG43*Прайс!$G$15,IF(AND($T43="Рідке скло",$F43=19),$AG43*Прайс!$G$16,IF(AND(OR($T43="Перли",$T43="Графіт"),$F43=19),$AG43*Прайс!$G$17,IF(AND(OR($T43="Зор.н.ср.",$T43="Зор.н.зол.",$T43="Зор.н.різн."),$F43=19),$AG43*Прайс!$G$18,IF(AND($T43="2-х кол.х.",$F43=19),$AG43*Прайс!$G$19,IF(AND($T43="3-х кол.х.",$F43=19),$AG43*Прайс!$G$20,IF(AND($T43="Фотодрук",$F43=19),$AG43*Прайс!$G$21,0))))))))))))))</f>
        <v>0</v>
      </c>
      <c r="Z43" s="175">
        <f>IF(OR($C43=0,$C43=""),0,IF(AND(OR($T43="",$T43=0),$W43="Матове",OR($F43=4,$F43=6,$F43=8,$F43=10,$F43=16,$F43=19)),$AG43*(Прайс!$F$10-500),IF(AND(OR($T43="",$T43=0),$W43="Матове+акрил",OR($F43=4,$F43=6,$F43=8,$F43=10,$F43=16,$F43=19)),$AG43*(Прайс!#REF!-500),IF(AND(OR($T43="",$T43=0),$W43="Софт(TS)",OR($F43=4,$F43=6,$F43=8,$F43=10,$F43=16,$F43=19)),$AG43*(Прайс!$F$11-500),IF(AND(OR($T43="",$T43=0),$W43="Глянець",OR($F43=4,$F43=6,$F43=8,$F43=10,$F43=16,$F43=19)),$AG43*(Прайс!$F$12-500),IF(AND(OR($T43="Перл.ср.",$T43="Перл.зол."),OR($F43=4,$F43=6,$F43=8,$F43=10,$F43=16,$F43=19)),$AG43*(Прайс!$F$13-500),IF(AND($T43="Гума",OR($F43=4,$F43=6,$F43=8,$F43=10,$F43=16,$F43=19)),$AG43*(Прайс!$F$14-500),IF(AND($T43="Металік",OR($F43=4,$F43=6,$F43=8,$F43=10,$F43=16,$F43=19)),$AG43*(Прайс!$F$15-500),IF(AND($T43="Рідке скло",OR($F43=4,$F43=6,$F43=8,$F43=10,$F43=16,$F43=19)),$AG43*(Прайс!$F$16-500),IF(AND(OR($T43="Перли",$T43="Графіт"),OR($F43=4,$F43=6,$F43=8,$F43=10,$F43=16,$F43=19)),$AG43*(Прайс!$F$17-500),IF(AND(OR($T43="Зор.н.ср.",$T43="Зор.н.зол.",$T43="Зор.н.різн."),OR($F43=4,$F43=6,$F43=8,$F43=10,$F43=16,$F43=19)),$AG43*(Прайс!$F$18-500),IF(AND(,$T43="2-х кол.х.",OR($F43=4,$F43=6,$F43=8,$F43=10,$F43=16,$F43=19)),$AG43*(Прайс!$F$19-500),IF(AND($T43="3-х кол.х.",OR($F43=4,$F43=6,$F43=8,$F43=10,$F43=16,$F43=19)),$AG43*(Прайс!$F$20-500),IF(AND($T43="Фотодрук",OR($F43=4,$F43=6,$F43=8,$F43=10,$F43=16,$F43=19)),$AG43*(Прайс!$F$21-500),0))))))))))))))</f>
        <v>0</v>
      </c>
      <c r="AA43" s="178">
        <f>IF(Бланк!AD61=0,0,Бланк!AD61*E43)</f>
        <v>0</v>
      </c>
      <c r="AB43" s="178">
        <f>Бланк!AE61</f>
        <v>0</v>
      </c>
      <c r="AC43" s="175">
        <f>IF(OR(AA$3=0,$AA43=""),0,$AA43*Прайс!$D$49)</f>
        <v>0</v>
      </c>
      <c r="AD43" s="178">
        <f>Бланк!AF61</f>
        <v>0</v>
      </c>
      <c r="AE43" s="178">
        <f>Бланк!AG61</f>
        <v>0</v>
      </c>
      <c r="AF43" s="178">
        <f>Бланк!AH61</f>
        <v>0</v>
      </c>
      <c r="AG43" s="123">
        <f>Бланк!$AI61</f>
        <v>0</v>
      </c>
      <c r="AH43" s="183"/>
      <c r="AI43" s="183"/>
      <c r="AJ43" s="183"/>
      <c r="AK43" s="183"/>
      <c r="AL43" s="184"/>
      <c r="AM43" s="184"/>
      <c r="AN43" s="184"/>
      <c r="AO43" s="184"/>
      <c r="AP43" s="185"/>
      <c r="AQ43" s="181"/>
    </row>
    <row r="44" spans="2:43" s="186" customFormat="1" ht="21" customHeight="1" x14ac:dyDescent="0.3">
      <c r="B44" s="182">
        <v>42</v>
      </c>
      <c r="C44" s="170" t="str">
        <f>IF(Бланк!$C62="","",Бланк!$C62/1000)</f>
        <v/>
      </c>
      <c r="D44" s="171" t="str">
        <f>IF(Бланк!$D62="","",Бланк!$D62/1000)</f>
        <v/>
      </c>
      <c r="E44" s="172" t="str">
        <f>IF(Бланк!E62="","",Бланк!E62)</f>
        <v/>
      </c>
      <c r="F44" s="172" t="str">
        <f>IF(Бланк!F62="","",Бланк!F62)</f>
        <v/>
      </c>
      <c r="G44" s="172" t="str">
        <f>IF(Бланк!H62="","",Бланк!H62)</f>
        <v/>
      </c>
      <c r="H44" s="172" t="str">
        <f>IF(Бланк!I62="","",Бланк!I62)</f>
        <v/>
      </c>
      <c r="I44" s="173" t="str">
        <f>IF(OR($C44="",$C44=0),"",IF($H44="Пряма з чвертю",(Прайс!$D$39+Прайс!$D$42)*Просчет!$E44,IF(Просчет!$H44="Пряма без чверті",Прайс!$D$39*Просчет!$E44,IF(AND(Просчет!$H44="Шпрос з чвертю",OR($C44&lt;1,$C44=1)),(Прайс!$D$40+Прайс!$D$43)*Просчет!$E44,IF(AND($H44="Шпрос з чвертю",$C44&gt;1),(Прайс!$F$40+Прайс!$D$43)*Просчет!$E44,IF(AND($H44="Шпрос без чверті",OR($C44&lt;1,$C44=1)),Прайс!$D$40*Просчет!$E44,IF(AND($H44="Шпрос без чверті",$C44&gt;1),Прайс!$F$40*Просчет!$E44,"")))))))</f>
        <v/>
      </c>
      <c r="J44" s="174" t="str">
        <f>IF(Бланк!$J62="","",Бланк!$J62/1000)</f>
        <v/>
      </c>
      <c r="K44" s="174">
        <f>Бланк!K62</f>
        <v>0</v>
      </c>
      <c r="L44" s="174">
        <f>Бланк!L62</f>
        <v>0</v>
      </c>
      <c r="M44" s="174">
        <f>Бланк!M62</f>
        <v>0</v>
      </c>
      <c r="N44" s="175">
        <f t="shared" si="0"/>
        <v>0</v>
      </c>
      <c r="O44" s="173">
        <f>IF($K44="","",IF(OR($K44="J № 1",$K44="J № 2",$K44="J № 2L",$K44="J № 2R",$K44="AJ № 2",$K44="AJ № 2L",$K44="AJ № 2R",$K44="U",$K44="V"),$N44*Прайс!$D$46,IF(OR($K44="AJ № 3R",$K44="AJ № 4R",$K44="AJ № 5R",$K44="AJ № 3L",$K44="AJ № 4L",$K44="AJ № 5L",$K44="AJ № 3",$K44="AJ № 4",$K44="AJ № 5",$K44="J № 3",$K44="J № 4",$K44="J № 5",$K44="J № 6",$K44="J № 7",$K44="L",$K44="AL"),Прайс!$D$47*$E44,IF(OR($K44="J № 3L",$K44="J № 3R",$K44="J № 4L",$K44="J № 4R",$K44="J № 5L",$K44="J № 5R"),$N44/2*Прайс!$D$47*$E44,IF($K44="45 град.",$N44*Прайс!$D$45,0)))))</f>
        <v>0</v>
      </c>
      <c r="P44" s="234">
        <f>IF($K44="",0,IF(OR($M44=$S44,$M44=0),0,$N44*Прайс!$D$62))</f>
        <v>0</v>
      </c>
      <c r="Q44" s="176">
        <f>Бланк!N62</f>
        <v>0</v>
      </c>
      <c r="R44" s="177">
        <f>Бланк!R62</f>
        <v>0</v>
      </c>
      <c r="S44" s="177">
        <f>Бланк!S62</f>
        <v>0</v>
      </c>
      <c r="T44" s="177" t="str">
        <f>IF(Бланк!T62="","",Бланк!T62)</f>
        <v/>
      </c>
      <c r="U44" s="177">
        <f>Бланк!U62</f>
        <v>0</v>
      </c>
      <c r="V44" s="177">
        <f>Бланк!AB62</f>
        <v>0</v>
      </c>
      <c r="W44" s="177">
        <f>Бланк!AC62</f>
        <v>0</v>
      </c>
      <c r="X44" s="175">
        <f>IF(OR($C44=0,$C44=""),0,IF(AND(OR($T44="",$T44=0),$V44="Матове",OR($F44=4,$F44=6,$F44=8,$F44=10,$F44=16)),$AG44*Прайс!$F$10,IF(AND(OR($T44="",$T44=0),$V44="Матове+акрил",OR($F44=4,$F44=6,$F44=8,$F44=10,$F44=16)),$AG44*Прайс!#REF!,IF(AND(OR($T44="",$T44=0),$V44="Софт(TS)",OR($F44=4,$F44=6,$F44=8,$F44=10,$F44=16)),$AG44*Прайс!$F$11,IF(AND(OR($T44="",$T44=0),$V44="Глянець",OR($F44=4,$F44=6,$F44=8,$F44=10,$F44=16)),$AG44*Прайс!$F$12,IF(AND(OR($T44="Перл.ср.",$T44="Перл.зол."),OR($F44=4,$F44=6,$F44=8,$F44=10,$F44=16)),$AG44*Прайс!$F$13,IF(AND($T44="Гума",OR($F44=4,$F44=6,$F44=8,$F44=10,$F44=16)),$AG44*Прайс!$F$14,IF(AND($T44="Металік",OR($F44=4,$F44=6,$F44=8,$F44=10,$F44=16)),$AG44*Прайс!$F$15,IF(AND($T44="Рідке скло",OR($F44=4,$F44=6,$F44=8,$F44=10,$F44=16)),$AG44*Прайс!$F$16,IF(AND(OR($T44="Перли",$T44="Графіт"),OR($F44=4,$F44=6,$F44=8,$F44=10,$F44=16)),$AG44*Прайс!$F$17,IF(AND(OR($T44="Зор.н.ср.",$T44="Зор.н.зол.",$T44="Зор.н.різн."),OR($F44=4,$F44=6,$F44=8,$F44=10,$F44=16)),$AG44*Прайс!$F$18,IF(AND(,$T44="2-х кол.х.",OR($F44=4,$F44=6,$F44=8,$F44=10,$F44=16)),$AG44*Прайс!$F$19,IF(AND($T44="3-х кол.х.",OR($F44=4,$F44=6,$F44=8,$F44=10,$F44=16)),$AG44*Прайс!$F$20,IF(AND($T44="Фотодрук",OR($F44=4,$F44=6,$F44=8,$F44=10,$F44=16)),$AG44*Прайс!$F$21,0))))))))))))))</f>
        <v>0</v>
      </c>
      <c r="Y44" s="175">
        <f>IF(OR($C44=0,$C44=""),0,IF(AND(OR($T44="",$T44=0),$V44="Матове",$F44=19),$AG44*Прайс!$G$10,IF(AND(OR($T44="",$T44=0),$V44="Матове+акрил",$F44=19),$AG44*Прайс!#REF!,IF(AND(OR($T44="",$T44=0),$V44="Софт(TS)",$F44=19),$AG44*Прайс!$G$11,IF(AND(OR($T44="",$T44=0),$V44="Глянець",$F44=19),$AG44*Прайс!$G$12,IF(AND(OR($T44="Перл.ср.",$T44="Перл.зол."),$F44=19),$AG44*Прайс!$G$13,IF(AND($T44="Гума",$F44=19),$AG44*Прайс!$G$14,IF(AND($T44="Металік",$F44=19),$AG44*Прайс!$G$15,IF(AND($T44="Рідке скло",$F44=19),$AG44*Прайс!$G$16,IF(AND(OR($T44="Перли",$T44="Графіт"),$F44=19),$AG44*Прайс!$G$17,IF(AND(OR($T44="Зор.н.ср.",$T44="Зор.н.зол.",$T44="Зор.н.різн."),$F44=19),$AG44*Прайс!$G$18,IF(AND($T44="2-х кол.х.",$F44=19),$AG44*Прайс!$G$19,IF(AND($T44="3-х кол.х.",$F44=19),$AG44*Прайс!$G$20,IF(AND($T44="Фотодрук",$F44=19),$AG44*Прайс!$G$21,0))))))))))))))</f>
        <v>0</v>
      </c>
      <c r="Z44" s="175">
        <f>IF(OR($C44=0,$C44=""),0,IF(AND(OR($T44="",$T44=0),$W44="Матове",OR($F44=4,$F44=6,$F44=8,$F44=10,$F44=16,$F44=19)),$AG44*(Прайс!$F$10-500),IF(AND(OR($T44="",$T44=0),$W44="Матове+акрил",OR($F44=4,$F44=6,$F44=8,$F44=10,$F44=16,$F44=19)),$AG44*(Прайс!#REF!-500),IF(AND(OR($T44="",$T44=0),$W44="Софт(TS)",OR($F44=4,$F44=6,$F44=8,$F44=10,$F44=16,$F44=19)),$AG44*(Прайс!$F$11-500),IF(AND(OR($T44="",$T44=0),$W44="Глянець",OR($F44=4,$F44=6,$F44=8,$F44=10,$F44=16,$F44=19)),$AG44*(Прайс!$F$12-500),IF(AND(OR($T44="Перл.ср.",$T44="Перл.зол."),OR($F44=4,$F44=6,$F44=8,$F44=10,$F44=16,$F44=19)),$AG44*(Прайс!$F$13-500),IF(AND($T44="Гума",OR($F44=4,$F44=6,$F44=8,$F44=10,$F44=16,$F44=19)),$AG44*(Прайс!$F$14-500),IF(AND($T44="Металік",OR($F44=4,$F44=6,$F44=8,$F44=10,$F44=16,$F44=19)),$AG44*(Прайс!$F$15-500),IF(AND($T44="Рідке скло",OR($F44=4,$F44=6,$F44=8,$F44=10,$F44=16,$F44=19)),$AG44*(Прайс!$F$16-500),IF(AND(OR($T44="Перли",$T44="Графіт"),OR($F44=4,$F44=6,$F44=8,$F44=10,$F44=16,$F44=19)),$AG44*(Прайс!$F$17-500),IF(AND(OR($T44="Зор.н.ср.",$T44="Зор.н.зол.",$T44="Зор.н.різн."),OR($F44=4,$F44=6,$F44=8,$F44=10,$F44=16,$F44=19)),$AG44*(Прайс!$F$18-500),IF(AND(,$T44="2-х кол.х.",OR($F44=4,$F44=6,$F44=8,$F44=10,$F44=16,$F44=19)),$AG44*(Прайс!$F$19-500),IF(AND($T44="3-х кол.х.",OR($F44=4,$F44=6,$F44=8,$F44=10,$F44=16,$F44=19)),$AG44*(Прайс!$F$20-500),IF(AND($T44="Фотодрук",OR($F44=4,$F44=6,$F44=8,$F44=10,$F44=16,$F44=19)),$AG44*(Прайс!$F$21-500),0))))))))))))))</f>
        <v>0</v>
      </c>
      <c r="AA44" s="178">
        <f>IF(Бланк!AD62=0,0,Бланк!AD62*E44)</f>
        <v>0</v>
      </c>
      <c r="AB44" s="178">
        <f>Бланк!AE62</f>
        <v>0</v>
      </c>
      <c r="AC44" s="175">
        <f>IF(OR(AA$3=0,$AA44=""),0,$AA44*Прайс!$D$49)</f>
        <v>0</v>
      </c>
      <c r="AD44" s="178">
        <f>Бланк!AF62</f>
        <v>0</v>
      </c>
      <c r="AE44" s="178">
        <f>Бланк!AG62</f>
        <v>0</v>
      </c>
      <c r="AF44" s="178">
        <f>Бланк!AH62</f>
        <v>0</v>
      </c>
      <c r="AG44" s="123">
        <f>Бланк!$AI62</f>
        <v>0</v>
      </c>
      <c r="AH44" s="183"/>
      <c r="AI44" s="183"/>
      <c r="AJ44" s="183"/>
      <c r="AK44" s="183"/>
      <c r="AL44" s="184"/>
      <c r="AM44" s="184"/>
      <c r="AN44" s="184"/>
      <c r="AO44" s="184"/>
      <c r="AP44" s="185"/>
      <c r="AQ44" s="181"/>
    </row>
    <row r="45" spans="2:43" s="186" customFormat="1" ht="21" customHeight="1" x14ac:dyDescent="0.3">
      <c r="B45" s="182">
        <v>43</v>
      </c>
      <c r="C45" s="170" t="str">
        <f>IF(Бланк!$C63="","",Бланк!$C63/1000)</f>
        <v/>
      </c>
      <c r="D45" s="171" t="str">
        <f>IF(Бланк!$D63="","",Бланк!$D63/1000)</f>
        <v/>
      </c>
      <c r="E45" s="172" t="str">
        <f>IF(Бланк!E63="","",Бланк!E63)</f>
        <v/>
      </c>
      <c r="F45" s="172" t="str">
        <f>IF(Бланк!F63="","",Бланк!F63)</f>
        <v/>
      </c>
      <c r="G45" s="172" t="str">
        <f>IF(Бланк!H63="","",Бланк!H63)</f>
        <v/>
      </c>
      <c r="H45" s="172" t="str">
        <f>IF(Бланк!I63="","",Бланк!I63)</f>
        <v/>
      </c>
      <c r="I45" s="173" t="str">
        <f>IF(OR($C45="",$C45=0),"",IF($H45="Пряма з чвертю",(Прайс!$D$39+Прайс!$D$42)*Просчет!$E45,IF(Просчет!$H45="Пряма без чверті",Прайс!$D$39*Просчет!$E45,IF(AND(Просчет!$H45="Шпрос з чвертю",OR($C45&lt;1,$C45=1)),(Прайс!$D$40+Прайс!$D$43)*Просчет!$E45,IF(AND($H45="Шпрос з чвертю",$C45&gt;1),(Прайс!$F$40+Прайс!$D$43)*Просчет!$E45,IF(AND($H45="Шпрос без чверті",OR($C45&lt;1,$C45=1)),Прайс!$D$40*Просчет!$E45,IF(AND($H45="Шпрос без чверті",$C45&gt;1),Прайс!$F$40*Просчет!$E45,"")))))))</f>
        <v/>
      </c>
      <c r="J45" s="174" t="str">
        <f>IF(Бланк!$J63="","",Бланк!$J63/1000)</f>
        <v/>
      </c>
      <c r="K45" s="174">
        <f>Бланк!K63</f>
        <v>0</v>
      </c>
      <c r="L45" s="174">
        <f>Бланк!L63</f>
        <v>0</v>
      </c>
      <c r="M45" s="174">
        <f>Бланк!M63</f>
        <v>0</v>
      </c>
      <c r="N45" s="175">
        <f t="shared" si="0"/>
        <v>0</v>
      </c>
      <c r="O45" s="173">
        <f>IF($K45="","",IF(OR($K45="J № 1",$K45="J № 2",$K45="J № 2L",$K45="J № 2R",$K45="AJ № 2",$K45="AJ № 2L",$K45="AJ № 2R",$K45="U",$K45="V"),$N45*Прайс!$D$46,IF(OR($K45="AJ № 3R",$K45="AJ № 4R",$K45="AJ № 5R",$K45="AJ № 3L",$K45="AJ № 4L",$K45="AJ № 5L",$K45="AJ № 3",$K45="AJ № 4",$K45="AJ № 5",$K45="J № 3",$K45="J № 4",$K45="J № 5",$K45="J № 6",$K45="J № 7",$K45="L",$K45="AL"),Прайс!$D$47*$E45,IF(OR($K45="J № 3L",$K45="J № 3R",$K45="J № 4L",$K45="J № 4R",$K45="J № 5L",$K45="J № 5R"),$N45/2*Прайс!$D$47*$E45,IF($K45="45 град.",$N45*Прайс!$D$45,0)))))</f>
        <v>0</v>
      </c>
      <c r="P45" s="234">
        <f>IF($K45="",0,IF(OR($M45=$S45,$M45=0),0,$N45*Прайс!$D$62))</f>
        <v>0</v>
      </c>
      <c r="Q45" s="176">
        <f>Бланк!N63</f>
        <v>0</v>
      </c>
      <c r="R45" s="177">
        <f>Бланк!R63</f>
        <v>0</v>
      </c>
      <c r="S45" s="177">
        <f>Бланк!S63</f>
        <v>0</v>
      </c>
      <c r="T45" s="177" t="str">
        <f>IF(Бланк!T63="","",Бланк!T63)</f>
        <v/>
      </c>
      <c r="U45" s="177">
        <f>Бланк!U63</f>
        <v>0</v>
      </c>
      <c r="V45" s="177">
        <f>Бланк!AB63</f>
        <v>0</v>
      </c>
      <c r="W45" s="177">
        <f>Бланк!AC63</f>
        <v>0</v>
      </c>
      <c r="X45" s="175">
        <f>IF(OR($C45=0,$C45=""),0,IF(AND(OR($T45="",$T45=0),$V45="Матове",OR($F45=4,$F45=6,$F45=8,$F45=10,$F45=16)),$AG45*Прайс!$F$10,IF(AND(OR($T45="",$T45=0),$V45="Матове+акрил",OR($F45=4,$F45=6,$F45=8,$F45=10,$F45=16)),$AG45*Прайс!#REF!,IF(AND(OR($T45="",$T45=0),$V45="Софт(TS)",OR($F45=4,$F45=6,$F45=8,$F45=10,$F45=16)),$AG45*Прайс!$F$11,IF(AND(OR($T45="",$T45=0),$V45="Глянець",OR($F45=4,$F45=6,$F45=8,$F45=10,$F45=16)),$AG45*Прайс!$F$12,IF(AND(OR($T45="Перл.ср.",$T45="Перл.зол."),OR($F45=4,$F45=6,$F45=8,$F45=10,$F45=16)),$AG45*Прайс!$F$13,IF(AND($T45="Гума",OR($F45=4,$F45=6,$F45=8,$F45=10,$F45=16)),$AG45*Прайс!$F$14,IF(AND($T45="Металік",OR($F45=4,$F45=6,$F45=8,$F45=10,$F45=16)),$AG45*Прайс!$F$15,IF(AND($T45="Рідке скло",OR($F45=4,$F45=6,$F45=8,$F45=10,$F45=16)),$AG45*Прайс!$F$16,IF(AND(OR($T45="Перли",$T45="Графіт"),OR($F45=4,$F45=6,$F45=8,$F45=10,$F45=16)),$AG45*Прайс!$F$17,IF(AND(OR($T45="Зор.н.ср.",$T45="Зор.н.зол.",$T45="Зор.н.різн."),OR($F45=4,$F45=6,$F45=8,$F45=10,$F45=16)),$AG45*Прайс!$F$18,IF(AND(,$T45="2-х кол.х.",OR($F45=4,$F45=6,$F45=8,$F45=10,$F45=16)),$AG45*Прайс!$F$19,IF(AND($T45="3-х кол.х.",OR($F45=4,$F45=6,$F45=8,$F45=10,$F45=16)),$AG45*Прайс!$F$20,IF(AND($T45="Фотодрук",OR($F45=4,$F45=6,$F45=8,$F45=10,$F45=16)),$AG45*Прайс!$F$21,0))))))))))))))</f>
        <v>0</v>
      </c>
      <c r="Y45" s="175">
        <f>IF(OR($C45=0,$C45=""),0,IF(AND(OR($T45="",$T45=0),$V45="Матове",$F45=19),$AG45*Прайс!$G$10,IF(AND(OR($T45="",$T45=0),$V45="Матове+акрил",$F45=19),$AG45*Прайс!#REF!,IF(AND(OR($T45="",$T45=0),$V45="Софт(TS)",$F45=19),$AG45*Прайс!$G$11,IF(AND(OR($T45="",$T45=0),$V45="Глянець",$F45=19),$AG45*Прайс!$G$12,IF(AND(OR($T45="Перл.ср.",$T45="Перл.зол."),$F45=19),$AG45*Прайс!$G$13,IF(AND($T45="Гума",$F45=19),$AG45*Прайс!$G$14,IF(AND($T45="Металік",$F45=19),$AG45*Прайс!$G$15,IF(AND($T45="Рідке скло",$F45=19),$AG45*Прайс!$G$16,IF(AND(OR($T45="Перли",$T45="Графіт"),$F45=19),$AG45*Прайс!$G$17,IF(AND(OR($T45="Зор.н.ср.",$T45="Зор.н.зол.",$T45="Зор.н.різн."),$F45=19),$AG45*Прайс!$G$18,IF(AND($T45="2-х кол.х.",$F45=19),$AG45*Прайс!$G$19,IF(AND($T45="3-х кол.х.",$F45=19),$AG45*Прайс!$G$20,IF(AND($T45="Фотодрук",$F45=19),$AG45*Прайс!$G$21,0))))))))))))))</f>
        <v>0</v>
      </c>
      <c r="Z45" s="175">
        <f>IF(OR($C45=0,$C45=""),0,IF(AND(OR($T45="",$T45=0),$W45="Матове",OR($F45=4,$F45=6,$F45=8,$F45=10,$F45=16,$F45=19)),$AG45*(Прайс!$F$10-500),IF(AND(OR($T45="",$T45=0),$W45="Матове+акрил",OR($F45=4,$F45=6,$F45=8,$F45=10,$F45=16,$F45=19)),$AG45*(Прайс!#REF!-500),IF(AND(OR($T45="",$T45=0),$W45="Софт(TS)",OR($F45=4,$F45=6,$F45=8,$F45=10,$F45=16,$F45=19)),$AG45*(Прайс!$F$11-500),IF(AND(OR($T45="",$T45=0),$W45="Глянець",OR($F45=4,$F45=6,$F45=8,$F45=10,$F45=16,$F45=19)),$AG45*(Прайс!$F$12-500),IF(AND(OR($T45="Перл.ср.",$T45="Перл.зол."),OR($F45=4,$F45=6,$F45=8,$F45=10,$F45=16,$F45=19)),$AG45*(Прайс!$F$13-500),IF(AND($T45="Гума",OR($F45=4,$F45=6,$F45=8,$F45=10,$F45=16,$F45=19)),$AG45*(Прайс!$F$14-500),IF(AND($T45="Металік",OR($F45=4,$F45=6,$F45=8,$F45=10,$F45=16,$F45=19)),$AG45*(Прайс!$F$15-500),IF(AND($T45="Рідке скло",OR($F45=4,$F45=6,$F45=8,$F45=10,$F45=16,$F45=19)),$AG45*(Прайс!$F$16-500),IF(AND(OR($T45="Перли",$T45="Графіт"),OR($F45=4,$F45=6,$F45=8,$F45=10,$F45=16,$F45=19)),$AG45*(Прайс!$F$17-500),IF(AND(OR($T45="Зор.н.ср.",$T45="Зор.н.зол.",$T45="Зор.н.різн."),OR($F45=4,$F45=6,$F45=8,$F45=10,$F45=16,$F45=19)),$AG45*(Прайс!$F$18-500),IF(AND(,$T45="2-х кол.х.",OR($F45=4,$F45=6,$F45=8,$F45=10,$F45=16,$F45=19)),$AG45*(Прайс!$F$19-500),IF(AND($T45="3-х кол.х.",OR($F45=4,$F45=6,$F45=8,$F45=10,$F45=16,$F45=19)),$AG45*(Прайс!$F$20-500),IF(AND($T45="Фотодрук",OR($F45=4,$F45=6,$F45=8,$F45=10,$F45=16,$F45=19)),$AG45*(Прайс!$F$21-500),0))))))))))))))</f>
        <v>0</v>
      </c>
      <c r="AA45" s="178">
        <f>IF(Бланк!AD63=0,0,Бланк!AD63*E45)</f>
        <v>0</v>
      </c>
      <c r="AB45" s="178">
        <f>Бланк!AE63</f>
        <v>0</v>
      </c>
      <c r="AC45" s="175">
        <f>IF(OR(AA$3=0,$AA45=""),0,$AA45*Прайс!$D$49)</f>
        <v>0</v>
      </c>
      <c r="AD45" s="178">
        <f>Бланк!AF63</f>
        <v>0</v>
      </c>
      <c r="AE45" s="178">
        <f>Бланк!AG63</f>
        <v>0</v>
      </c>
      <c r="AF45" s="178">
        <f>Бланк!AH63</f>
        <v>0</v>
      </c>
      <c r="AG45" s="123">
        <f>Бланк!$AI63</f>
        <v>0</v>
      </c>
      <c r="AH45" s="183"/>
      <c r="AI45" s="183"/>
      <c r="AJ45" s="183"/>
      <c r="AK45" s="183"/>
      <c r="AL45" s="184"/>
      <c r="AM45" s="184"/>
      <c r="AN45" s="184"/>
      <c r="AO45" s="184"/>
      <c r="AP45" s="185"/>
      <c r="AQ45" s="181"/>
    </row>
    <row r="46" spans="2:43" s="186" customFormat="1" ht="21" customHeight="1" x14ac:dyDescent="0.3">
      <c r="B46" s="182">
        <v>44</v>
      </c>
      <c r="C46" s="170" t="str">
        <f>IF(Бланк!$C64="","",Бланк!$C64/1000)</f>
        <v/>
      </c>
      <c r="D46" s="171" t="str">
        <f>IF(Бланк!$D64="","",Бланк!$D64/1000)</f>
        <v/>
      </c>
      <c r="E46" s="172" t="str">
        <f>IF(Бланк!E64="","",Бланк!E64)</f>
        <v/>
      </c>
      <c r="F46" s="172" t="str">
        <f>IF(Бланк!F64="","",Бланк!F64)</f>
        <v/>
      </c>
      <c r="G46" s="172" t="str">
        <f>IF(Бланк!H64="","",Бланк!H64)</f>
        <v/>
      </c>
      <c r="H46" s="172" t="str">
        <f>IF(Бланк!I64="","",Бланк!I64)</f>
        <v/>
      </c>
      <c r="I46" s="173" t="str">
        <f>IF(OR($C46="",$C46=0),"",IF($H46="Пряма з чвертю",(Прайс!$D$39+Прайс!$D$42)*Просчет!$E46,IF(Просчет!$H46="Пряма без чверті",Прайс!$D$39*Просчет!$E46,IF(AND(Просчет!$H46="Шпрос з чвертю",OR($C46&lt;1,$C46=1)),(Прайс!$D$40+Прайс!$D$43)*Просчет!$E46,IF(AND($H46="Шпрос з чвертю",$C46&gt;1),(Прайс!$F$40+Прайс!$D$43)*Просчет!$E46,IF(AND($H46="Шпрос без чверті",OR($C46&lt;1,$C46=1)),Прайс!$D$40*Просчет!$E46,IF(AND($H46="Шпрос без чверті",$C46&gt;1),Прайс!$F$40*Просчет!$E46,"")))))))</f>
        <v/>
      </c>
      <c r="J46" s="174" t="str">
        <f>IF(Бланк!$J64="","",Бланк!$J64/1000)</f>
        <v/>
      </c>
      <c r="K46" s="174">
        <f>Бланк!K64</f>
        <v>0</v>
      </c>
      <c r="L46" s="174">
        <f>Бланк!L64</f>
        <v>0</v>
      </c>
      <c r="M46" s="174">
        <f>Бланк!M64</f>
        <v>0</v>
      </c>
      <c r="N46" s="175">
        <f t="shared" si="0"/>
        <v>0</v>
      </c>
      <c r="O46" s="173">
        <f>IF($K46="","",IF(OR($K46="J № 1",$K46="J № 2",$K46="J № 2L",$K46="J № 2R",$K46="AJ № 2",$K46="AJ № 2L",$K46="AJ № 2R",$K46="U",$K46="V"),$N46*Прайс!$D$46,IF(OR($K46="AJ № 3R",$K46="AJ № 4R",$K46="AJ № 5R",$K46="AJ № 3L",$K46="AJ № 4L",$K46="AJ № 5L",$K46="AJ № 3",$K46="AJ № 4",$K46="AJ № 5",$K46="J № 3",$K46="J № 4",$K46="J № 5",$K46="J № 6",$K46="J № 7",$K46="L",$K46="AL"),Прайс!$D$47*$E46,IF(OR($K46="J № 3L",$K46="J № 3R",$K46="J № 4L",$K46="J № 4R",$K46="J № 5L",$K46="J № 5R"),$N46/2*Прайс!$D$47*$E46,IF($K46="45 град.",$N46*Прайс!$D$45,0)))))</f>
        <v>0</v>
      </c>
      <c r="P46" s="234">
        <f>IF($K46="",0,IF(OR($M46=$S46,$M46=0),0,$N46*Прайс!$D$62))</f>
        <v>0</v>
      </c>
      <c r="Q46" s="176">
        <f>Бланк!N64</f>
        <v>0</v>
      </c>
      <c r="R46" s="177">
        <f>Бланк!R64</f>
        <v>0</v>
      </c>
      <c r="S46" s="177">
        <f>Бланк!S64</f>
        <v>0</v>
      </c>
      <c r="T46" s="177" t="str">
        <f>IF(Бланк!T64="","",Бланк!T64)</f>
        <v/>
      </c>
      <c r="U46" s="177">
        <f>Бланк!U64</f>
        <v>0</v>
      </c>
      <c r="V46" s="177">
        <f>Бланк!AB64</f>
        <v>0</v>
      </c>
      <c r="W46" s="177">
        <f>Бланк!AC64</f>
        <v>0</v>
      </c>
      <c r="X46" s="175">
        <f>IF(OR($C46=0,$C46=""),0,IF(AND(OR($T46="",$T46=0),$V46="Матове",OR($F46=4,$F46=6,$F46=8,$F46=10,$F46=16)),$AG46*Прайс!$F$10,IF(AND(OR($T46="",$T46=0),$V46="Матове+акрил",OR($F46=4,$F46=6,$F46=8,$F46=10,$F46=16)),$AG46*Прайс!#REF!,IF(AND(OR($T46="",$T46=0),$V46="Софт(TS)",OR($F46=4,$F46=6,$F46=8,$F46=10,$F46=16)),$AG46*Прайс!$F$11,IF(AND(OR($T46="",$T46=0),$V46="Глянець",OR($F46=4,$F46=6,$F46=8,$F46=10,$F46=16)),$AG46*Прайс!$F$12,IF(AND(OR($T46="Перл.ср.",$T46="Перл.зол."),OR($F46=4,$F46=6,$F46=8,$F46=10,$F46=16)),$AG46*Прайс!$F$13,IF(AND($T46="Гума",OR($F46=4,$F46=6,$F46=8,$F46=10,$F46=16)),$AG46*Прайс!$F$14,IF(AND($T46="Металік",OR($F46=4,$F46=6,$F46=8,$F46=10,$F46=16)),$AG46*Прайс!$F$15,IF(AND($T46="Рідке скло",OR($F46=4,$F46=6,$F46=8,$F46=10,$F46=16)),$AG46*Прайс!$F$16,IF(AND(OR($T46="Перли",$T46="Графіт"),OR($F46=4,$F46=6,$F46=8,$F46=10,$F46=16)),$AG46*Прайс!$F$17,IF(AND(OR($T46="Зор.н.ср.",$T46="Зор.н.зол.",$T46="Зор.н.різн."),OR($F46=4,$F46=6,$F46=8,$F46=10,$F46=16)),$AG46*Прайс!$F$18,IF(AND(,$T46="2-х кол.х.",OR($F46=4,$F46=6,$F46=8,$F46=10,$F46=16)),$AG46*Прайс!$F$19,IF(AND($T46="3-х кол.х.",OR($F46=4,$F46=6,$F46=8,$F46=10,$F46=16)),$AG46*Прайс!$F$20,IF(AND($T46="Фотодрук",OR($F46=4,$F46=6,$F46=8,$F46=10,$F46=16)),$AG46*Прайс!$F$21,0))))))))))))))</f>
        <v>0</v>
      </c>
      <c r="Y46" s="175">
        <f>IF(OR($C46=0,$C46=""),0,IF(AND(OR($T46="",$T46=0),$V46="Матове",$F46=19),$AG46*Прайс!$G$10,IF(AND(OR($T46="",$T46=0),$V46="Матове+акрил",$F46=19),$AG46*Прайс!#REF!,IF(AND(OR($T46="",$T46=0),$V46="Софт(TS)",$F46=19),$AG46*Прайс!$G$11,IF(AND(OR($T46="",$T46=0),$V46="Глянець",$F46=19),$AG46*Прайс!$G$12,IF(AND(OR($T46="Перл.ср.",$T46="Перл.зол."),$F46=19),$AG46*Прайс!$G$13,IF(AND($T46="Гума",$F46=19),$AG46*Прайс!$G$14,IF(AND($T46="Металік",$F46=19),$AG46*Прайс!$G$15,IF(AND($T46="Рідке скло",$F46=19),$AG46*Прайс!$G$16,IF(AND(OR($T46="Перли",$T46="Графіт"),$F46=19),$AG46*Прайс!$G$17,IF(AND(OR($T46="Зор.н.ср.",$T46="Зор.н.зол.",$T46="Зор.н.різн."),$F46=19),$AG46*Прайс!$G$18,IF(AND($T46="2-х кол.х.",$F46=19),$AG46*Прайс!$G$19,IF(AND($T46="3-х кол.х.",$F46=19),$AG46*Прайс!$G$20,IF(AND($T46="Фотодрук",$F46=19),$AG46*Прайс!$G$21,0))))))))))))))</f>
        <v>0</v>
      </c>
      <c r="Z46" s="175">
        <f>IF(OR($C46=0,$C46=""),0,IF(AND(OR($T46="",$T46=0),$W46="Матове",OR($F46=4,$F46=6,$F46=8,$F46=10,$F46=16,$F46=19)),$AG46*(Прайс!$F$10-500),IF(AND(OR($T46="",$T46=0),$W46="Матове+акрил",OR($F46=4,$F46=6,$F46=8,$F46=10,$F46=16,$F46=19)),$AG46*(Прайс!#REF!-500),IF(AND(OR($T46="",$T46=0),$W46="Софт(TS)",OR($F46=4,$F46=6,$F46=8,$F46=10,$F46=16,$F46=19)),$AG46*(Прайс!$F$11-500),IF(AND(OR($T46="",$T46=0),$W46="Глянець",OR($F46=4,$F46=6,$F46=8,$F46=10,$F46=16,$F46=19)),$AG46*(Прайс!$F$12-500),IF(AND(OR($T46="Перл.ср.",$T46="Перл.зол."),OR($F46=4,$F46=6,$F46=8,$F46=10,$F46=16,$F46=19)),$AG46*(Прайс!$F$13-500),IF(AND($T46="Гума",OR($F46=4,$F46=6,$F46=8,$F46=10,$F46=16,$F46=19)),$AG46*(Прайс!$F$14-500),IF(AND($T46="Металік",OR($F46=4,$F46=6,$F46=8,$F46=10,$F46=16,$F46=19)),$AG46*(Прайс!$F$15-500),IF(AND($T46="Рідке скло",OR($F46=4,$F46=6,$F46=8,$F46=10,$F46=16,$F46=19)),$AG46*(Прайс!$F$16-500),IF(AND(OR($T46="Перли",$T46="Графіт"),OR($F46=4,$F46=6,$F46=8,$F46=10,$F46=16,$F46=19)),$AG46*(Прайс!$F$17-500),IF(AND(OR($T46="Зор.н.ср.",$T46="Зор.н.зол.",$T46="Зор.н.різн."),OR($F46=4,$F46=6,$F46=8,$F46=10,$F46=16,$F46=19)),$AG46*(Прайс!$F$18-500),IF(AND(,$T46="2-х кол.х.",OR($F46=4,$F46=6,$F46=8,$F46=10,$F46=16,$F46=19)),$AG46*(Прайс!$F$19-500),IF(AND($T46="3-х кол.х.",OR($F46=4,$F46=6,$F46=8,$F46=10,$F46=16,$F46=19)),$AG46*(Прайс!$F$20-500),IF(AND($T46="Фотодрук",OR($F46=4,$F46=6,$F46=8,$F46=10,$F46=16,$F46=19)),$AG46*(Прайс!$F$21-500),0))))))))))))))</f>
        <v>0</v>
      </c>
      <c r="AA46" s="178">
        <f>IF(Бланк!AD64=0,0,Бланк!AD64*E46)</f>
        <v>0</v>
      </c>
      <c r="AB46" s="178">
        <f>Бланк!AE64</f>
        <v>0</v>
      </c>
      <c r="AC46" s="175">
        <f>IF(OR(AA$3=0,$AA46=""),0,$AA46*Прайс!$D$49)</f>
        <v>0</v>
      </c>
      <c r="AD46" s="178">
        <f>Бланк!AF64</f>
        <v>0</v>
      </c>
      <c r="AE46" s="178">
        <f>Бланк!AG64</f>
        <v>0</v>
      </c>
      <c r="AF46" s="178">
        <f>Бланк!AH64</f>
        <v>0</v>
      </c>
      <c r="AG46" s="123">
        <f>Бланк!$AI64</f>
        <v>0</v>
      </c>
      <c r="AH46" s="183"/>
      <c r="AI46" s="183"/>
      <c r="AJ46" s="183"/>
      <c r="AK46" s="183"/>
      <c r="AL46" s="184"/>
      <c r="AM46" s="184"/>
      <c r="AN46" s="184"/>
      <c r="AO46" s="184"/>
      <c r="AP46" s="185"/>
      <c r="AQ46" s="181"/>
    </row>
    <row r="47" spans="2:43" s="186" customFormat="1" ht="21" customHeight="1" x14ac:dyDescent="0.3">
      <c r="B47" s="182">
        <v>45</v>
      </c>
      <c r="C47" s="170" t="str">
        <f>IF(Бланк!$C65="","",Бланк!$C65/1000)</f>
        <v/>
      </c>
      <c r="D47" s="171" t="str">
        <f>IF(Бланк!$D65="","",Бланк!$D65/1000)</f>
        <v/>
      </c>
      <c r="E47" s="172" t="str">
        <f>IF(Бланк!E65="","",Бланк!E65)</f>
        <v/>
      </c>
      <c r="F47" s="172" t="str">
        <f>IF(Бланк!F65="","",Бланк!F65)</f>
        <v/>
      </c>
      <c r="G47" s="172" t="str">
        <f>IF(Бланк!H65="","",Бланк!H65)</f>
        <v/>
      </c>
      <c r="H47" s="172" t="str">
        <f>IF(Бланк!I65="","",Бланк!I65)</f>
        <v/>
      </c>
      <c r="I47" s="173" t="str">
        <f>IF(OR($C47="",$C47=0),"",IF($H47="Пряма з чвертю",(Прайс!$D$39+Прайс!$D$42)*Просчет!$E47,IF(Просчет!$H47="Пряма без чверті",Прайс!$D$39*Просчет!$E47,IF(AND(Просчет!$H47="Шпрос з чвертю",OR($C47&lt;1,$C47=1)),(Прайс!$D$40+Прайс!$D$43)*Просчет!$E47,IF(AND($H47="Шпрос з чвертю",$C47&gt;1),(Прайс!$F$40+Прайс!$D$43)*Просчет!$E47,IF(AND($H47="Шпрос без чверті",OR($C47&lt;1,$C47=1)),Прайс!$D$40*Просчет!$E47,IF(AND($H47="Шпрос без чверті",$C47&gt;1),Прайс!$F$40*Просчет!$E47,"")))))))</f>
        <v/>
      </c>
      <c r="J47" s="174" t="str">
        <f>IF(Бланк!$J65="","",Бланк!$J65/1000)</f>
        <v/>
      </c>
      <c r="K47" s="174">
        <f>Бланк!K65</f>
        <v>0</v>
      </c>
      <c r="L47" s="174">
        <f>Бланк!L65</f>
        <v>0</v>
      </c>
      <c r="M47" s="174">
        <f>Бланк!M65</f>
        <v>0</v>
      </c>
      <c r="N47" s="175">
        <f t="shared" si="0"/>
        <v>0</v>
      </c>
      <c r="O47" s="173">
        <f>IF($K47="","",IF(OR($K47="J № 1",$K47="J № 2",$K47="J № 2L",$K47="J № 2R",$K47="AJ № 2",$K47="AJ № 2L",$K47="AJ № 2R",$K47="U",$K47="V"),$N47*Прайс!$D$46,IF(OR($K47="AJ № 3R",$K47="AJ № 4R",$K47="AJ № 5R",$K47="AJ № 3L",$K47="AJ № 4L",$K47="AJ № 5L",$K47="AJ № 3",$K47="AJ № 4",$K47="AJ № 5",$K47="J № 3",$K47="J № 4",$K47="J № 5",$K47="J № 6",$K47="J № 7",$K47="L",$K47="AL"),Прайс!$D$47*$E47,IF(OR($K47="J № 3L",$K47="J № 3R",$K47="J № 4L",$K47="J № 4R",$K47="J № 5L",$K47="J № 5R"),$N47/2*Прайс!$D$47*$E47,IF($K47="45 град.",$N47*Прайс!$D$45,0)))))</f>
        <v>0</v>
      </c>
      <c r="P47" s="234">
        <f>IF($K47="",0,IF(OR($M47=$S47,$M47=0),0,$N47*Прайс!$D$62))</f>
        <v>0</v>
      </c>
      <c r="Q47" s="176">
        <f>Бланк!N65</f>
        <v>0</v>
      </c>
      <c r="R47" s="177">
        <f>Бланк!R65</f>
        <v>0</v>
      </c>
      <c r="S47" s="177">
        <f>Бланк!S65</f>
        <v>0</v>
      </c>
      <c r="T47" s="177" t="str">
        <f>IF(Бланк!T65="","",Бланк!T65)</f>
        <v/>
      </c>
      <c r="U47" s="177">
        <f>Бланк!U65</f>
        <v>0</v>
      </c>
      <c r="V47" s="177">
        <f>Бланк!AB65</f>
        <v>0</v>
      </c>
      <c r="W47" s="177">
        <f>Бланк!AC65</f>
        <v>0</v>
      </c>
      <c r="X47" s="175">
        <f>IF(OR($C47=0,$C47=""),0,IF(AND(OR($T47="",$T47=0),$V47="Матове",OR($F47=4,$F47=6,$F47=8,$F47=10,$F47=16)),$AG47*Прайс!$F$10,IF(AND(OR($T47="",$T47=0),$V47="Матове+акрил",OR($F47=4,$F47=6,$F47=8,$F47=10,$F47=16)),$AG47*Прайс!#REF!,IF(AND(OR($T47="",$T47=0),$V47="Софт(TS)",OR($F47=4,$F47=6,$F47=8,$F47=10,$F47=16)),$AG47*Прайс!$F$11,IF(AND(OR($T47="",$T47=0),$V47="Глянець",OR($F47=4,$F47=6,$F47=8,$F47=10,$F47=16)),$AG47*Прайс!$F$12,IF(AND(OR($T47="Перл.ср.",$T47="Перл.зол."),OR($F47=4,$F47=6,$F47=8,$F47=10,$F47=16)),$AG47*Прайс!$F$13,IF(AND($T47="Гума",OR($F47=4,$F47=6,$F47=8,$F47=10,$F47=16)),$AG47*Прайс!$F$14,IF(AND($T47="Металік",OR($F47=4,$F47=6,$F47=8,$F47=10,$F47=16)),$AG47*Прайс!$F$15,IF(AND($T47="Рідке скло",OR($F47=4,$F47=6,$F47=8,$F47=10,$F47=16)),$AG47*Прайс!$F$16,IF(AND(OR($T47="Перли",$T47="Графіт"),OR($F47=4,$F47=6,$F47=8,$F47=10,$F47=16)),$AG47*Прайс!$F$17,IF(AND(OR($T47="Зор.н.ср.",$T47="Зор.н.зол.",$T47="Зор.н.різн."),OR($F47=4,$F47=6,$F47=8,$F47=10,$F47=16)),$AG47*Прайс!$F$18,IF(AND(,$T47="2-х кол.х.",OR($F47=4,$F47=6,$F47=8,$F47=10,$F47=16)),$AG47*Прайс!$F$19,IF(AND($T47="3-х кол.х.",OR($F47=4,$F47=6,$F47=8,$F47=10,$F47=16)),$AG47*Прайс!$F$20,IF(AND($T47="Фотодрук",OR($F47=4,$F47=6,$F47=8,$F47=10,$F47=16)),$AG47*Прайс!$F$21,0))))))))))))))</f>
        <v>0</v>
      </c>
      <c r="Y47" s="175">
        <f>IF(OR($C47=0,$C47=""),0,IF(AND(OR($T47="",$T47=0),$V47="Матове",$F47=19),$AG47*Прайс!$G$10,IF(AND(OR($T47="",$T47=0),$V47="Матове+акрил",$F47=19),$AG47*Прайс!#REF!,IF(AND(OR($T47="",$T47=0),$V47="Софт(TS)",$F47=19),$AG47*Прайс!$G$11,IF(AND(OR($T47="",$T47=0),$V47="Глянець",$F47=19),$AG47*Прайс!$G$12,IF(AND(OR($T47="Перл.ср.",$T47="Перл.зол."),$F47=19),$AG47*Прайс!$G$13,IF(AND($T47="Гума",$F47=19),$AG47*Прайс!$G$14,IF(AND($T47="Металік",$F47=19),$AG47*Прайс!$G$15,IF(AND($T47="Рідке скло",$F47=19),$AG47*Прайс!$G$16,IF(AND(OR($T47="Перли",$T47="Графіт"),$F47=19),$AG47*Прайс!$G$17,IF(AND(OR($T47="Зор.н.ср.",$T47="Зор.н.зол.",$T47="Зор.н.різн."),$F47=19),$AG47*Прайс!$G$18,IF(AND($T47="2-х кол.х.",$F47=19),$AG47*Прайс!$G$19,IF(AND($T47="3-х кол.х.",$F47=19),$AG47*Прайс!$G$20,IF(AND($T47="Фотодрук",$F47=19),$AG47*Прайс!$G$21,0))))))))))))))</f>
        <v>0</v>
      </c>
      <c r="Z47" s="175">
        <f>IF(OR($C47=0,$C47=""),0,IF(AND(OR($T47="",$T47=0),$W47="Матове",OR($F47=4,$F47=6,$F47=8,$F47=10,$F47=16,$F47=19)),$AG47*(Прайс!$F$10-500),IF(AND(OR($T47="",$T47=0),$W47="Матове+акрил",OR($F47=4,$F47=6,$F47=8,$F47=10,$F47=16,$F47=19)),$AG47*(Прайс!#REF!-500),IF(AND(OR($T47="",$T47=0),$W47="Софт(TS)",OR($F47=4,$F47=6,$F47=8,$F47=10,$F47=16,$F47=19)),$AG47*(Прайс!$F$11-500),IF(AND(OR($T47="",$T47=0),$W47="Глянець",OR($F47=4,$F47=6,$F47=8,$F47=10,$F47=16,$F47=19)),$AG47*(Прайс!$F$12-500),IF(AND(OR($T47="Перл.ср.",$T47="Перл.зол."),OR($F47=4,$F47=6,$F47=8,$F47=10,$F47=16,$F47=19)),$AG47*(Прайс!$F$13-500),IF(AND($T47="Гума",OR($F47=4,$F47=6,$F47=8,$F47=10,$F47=16,$F47=19)),$AG47*(Прайс!$F$14-500),IF(AND($T47="Металік",OR($F47=4,$F47=6,$F47=8,$F47=10,$F47=16,$F47=19)),$AG47*(Прайс!$F$15-500),IF(AND($T47="Рідке скло",OR($F47=4,$F47=6,$F47=8,$F47=10,$F47=16,$F47=19)),$AG47*(Прайс!$F$16-500),IF(AND(OR($T47="Перли",$T47="Графіт"),OR($F47=4,$F47=6,$F47=8,$F47=10,$F47=16,$F47=19)),$AG47*(Прайс!$F$17-500),IF(AND(OR($T47="Зор.н.ср.",$T47="Зор.н.зол.",$T47="Зор.н.різн."),OR($F47=4,$F47=6,$F47=8,$F47=10,$F47=16,$F47=19)),$AG47*(Прайс!$F$18-500),IF(AND(,$T47="2-х кол.х.",OR($F47=4,$F47=6,$F47=8,$F47=10,$F47=16,$F47=19)),$AG47*(Прайс!$F$19-500),IF(AND($T47="3-х кол.х.",OR($F47=4,$F47=6,$F47=8,$F47=10,$F47=16,$F47=19)),$AG47*(Прайс!$F$20-500),IF(AND($T47="Фотодрук",OR($F47=4,$F47=6,$F47=8,$F47=10,$F47=16,$F47=19)),$AG47*(Прайс!$F$21-500),0))))))))))))))</f>
        <v>0</v>
      </c>
      <c r="AA47" s="178">
        <f>IF(Бланк!AD65=0,0,Бланк!AD65*E47)</f>
        <v>0</v>
      </c>
      <c r="AB47" s="178">
        <f>Бланк!AE65</f>
        <v>0</v>
      </c>
      <c r="AC47" s="175">
        <f>IF(OR(AA$3=0,$AA47=""),0,$AA47*Прайс!$D$49)</f>
        <v>0</v>
      </c>
      <c r="AD47" s="178">
        <f>Бланк!AF65</f>
        <v>0</v>
      </c>
      <c r="AE47" s="178">
        <f>Бланк!AG65</f>
        <v>0</v>
      </c>
      <c r="AF47" s="178">
        <f>Бланк!AH65</f>
        <v>0</v>
      </c>
      <c r="AG47" s="123">
        <f>Бланк!$AI65</f>
        <v>0</v>
      </c>
      <c r="AH47" s="183"/>
      <c r="AI47" s="183"/>
      <c r="AJ47" s="183"/>
      <c r="AK47" s="183"/>
      <c r="AL47" s="184"/>
      <c r="AM47" s="184"/>
      <c r="AN47" s="184"/>
      <c r="AO47" s="184"/>
      <c r="AP47" s="185"/>
      <c r="AQ47" s="181"/>
    </row>
    <row r="48" spans="2:43" s="186" customFormat="1" ht="21" customHeight="1" x14ac:dyDescent="0.3">
      <c r="B48" s="187" t="s">
        <v>8</v>
      </c>
      <c r="C48" s="128">
        <f>SUMPRODUCT(C3:C47)</f>
        <v>1.2</v>
      </c>
      <c r="D48" s="128">
        <f>SUMPRODUCT(D3:D47)</f>
        <v>1</v>
      </c>
      <c r="E48" s="172">
        <f>IF(Бланк!E66="","",Бланк!E66)</f>
        <v>2</v>
      </c>
      <c r="F48" s="128"/>
      <c r="G48" s="128"/>
      <c r="H48" s="172">
        <f>IF(Бланк!I66="","",Бланк!I66)</f>
        <v>0</v>
      </c>
      <c r="I48" s="188"/>
      <c r="J48" s="189">
        <v>0</v>
      </c>
      <c r="K48" s="188">
        <v>0</v>
      </c>
      <c r="L48" s="188"/>
      <c r="M48" s="188"/>
      <c r="N48" s="188"/>
      <c r="O48" s="188"/>
      <c r="P48" s="188"/>
      <c r="Q48" s="188"/>
      <c r="R48" s="128"/>
      <c r="S48" s="128"/>
      <c r="T48" s="128"/>
      <c r="U48" s="128"/>
      <c r="V48" s="128"/>
      <c r="W48" s="128"/>
      <c r="X48" s="128"/>
      <c r="Y48" s="128"/>
      <c r="Z48" s="128"/>
      <c r="AA48" s="128">
        <f>SUM(AA3:AA47)</f>
        <v>0</v>
      </c>
      <c r="AB48" s="128"/>
      <c r="AC48" s="128"/>
      <c r="AD48" s="128"/>
      <c r="AE48" s="128"/>
      <c r="AF48" s="188"/>
      <c r="AG48" s="123">
        <f>Бланк!$AI66</f>
        <v>2.4</v>
      </c>
      <c r="AH48" s="183"/>
      <c r="AI48" s="183"/>
      <c r="AJ48" s="183"/>
      <c r="AK48" s="183"/>
      <c r="AL48" s="184"/>
      <c r="AM48" s="184"/>
      <c r="AN48" s="184"/>
      <c r="AO48" s="184"/>
      <c r="AP48" s="185"/>
      <c r="AQ48" s="181"/>
    </row>
    <row r="49" spans="2:42" ht="15.75" x14ac:dyDescent="0.25">
      <c r="B49" s="190"/>
      <c r="C49" s="188"/>
      <c r="D49" s="188"/>
      <c r="E49" s="188"/>
      <c r="F49" s="188"/>
      <c r="G49" s="191"/>
      <c r="H49" s="191"/>
      <c r="I49" s="191"/>
      <c r="J49" s="191"/>
      <c r="K49" s="191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2"/>
      <c r="X49" s="192"/>
      <c r="Y49" s="192"/>
      <c r="Z49" s="192"/>
      <c r="AA49" s="192"/>
      <c r="AB49" s="192"/>
      <c r="AC49" s="192"/>
      <c r="AD49" s="192"/>
      <c r="AE49" s="192"/>
      <c r="AF49" s="188"/>
      <c r="AG49" s="123">
        <f>Бланк!$AI67</f>
        <v>2.4</v>
      </c>
      <c r="AH49" s="128"/>
      <c r="AI49" s="128"/>
      <c r="AJ49" s="128"/>
      <c r="AK49" s="128"/>
      <c r="AL49" s="128"/>
      <c r="AM49" s="128"/>
      <c r="AN49" s="128"/>
      <c r="AO49" s="188"/>
      <c r="AP49" s="124"/>
    </row>
    <row r="50" spans="2:42" s="186" customFormat="1" ht="20.25" x14ac:dyDescent="0.3">
      <c r="B50" s="192"/>
      <c r="C50" s="188"/>
      <c r="D50" s="192"/>
      <c r="E50" s="191"/>
      <c r="F50" s="191"/>
      <c r="G50" s="188"/>
      <c r="H50" s="188"/>
      <c r="I50" s="188"/>
      <c r="J50" s="188"/>
      <c r="K50" s="191"/>
      <c r="L50" s="191"/>
      <c r="M50" s="191"/>
      <c r="N50" s="191"/>
      <c r="O50" s="191"/>
      <c r="P50" s="191"/>
      <c r="Q50" s="191"/>
      <c r="R50" s="191"/>
      <c r="S50" s="191"/>
      <c r="T50" s="191"/>
      <c r="U50" s="191"/>
      <c r="V50" s="191"/>
      <c r="W50" s="191"/>
      <c r="X50" s="191"/>
      <c r="Y50" s="191"/>
      <c r="Z50" s="191"/>
      <c r="AA50" s="191"/>
      <c r="AB50" s="191"/>
      <c r="AC50" s="191"/>
      <c r="AD50" s="191"/>
      <c r="AE50" s="193"/>
      <c r="AF50" s="192"/>
      <c r="AG50" s="192"/>
      <c r="AH50" s="192"/>
      <c r="AI50" s="192"/>
      <c r="AJ50" s="192"/>
      <c r="AK50" s="192"/>
      <c r="AL50" s="192"/>
      <c r="AM50" s="192"/>
      <c r="AN50" s="192"/>
      <c r="AO50" s="188"/>
      <c r="AP50" s="125"/>
    </row>
    <row r="51" spans="2:42" s="186" customFormat="1" ht="51" x14ac:dyDescent="0.3">
      <c r="B51" s="167" t="s">
        <v>3</v>
      </c>
      <c r="C51" s="167" t="s">
        <v>80</v>
      </c>
      <c r="D51" s="167" t="s">
        <v>82</v>
      </c>
      <c r="E51" s="167" t="s">
        <v>81</v>
      </c>
      <c r="F51" s="167" t="s">
        <v>83</v>
      </c>
      <c r="G51" s="167" t="s">
        <v>89</v>
      </c>
      <c r="H51" s="194" t="s">
        <v>308</v>
      </c>
      <c r="I51" s="164" t="s">
        <v>202</v>
      </c>
      <c r="J51" s="308" t="s">
        <v>84</v>
      </c>
      <c r="K51" s="309"/>
      <c r="L51" s="308" t="s">
        <v>300</v>
      </c>
      <c r="M51" s="309"/>
      <c r="N51" s="164" t="s">
        <v>294</v>
      </c>
      <c r="O51" s="165" t="s">
        <v>295</v>
      </c>
      <c r="P51" s="233"/>
      <c r="Q51" s="195" t="s">
        <v>309</v>
      </c>
      <c r="R51" s="310" t="s">
        <v>85</v>
      </c>
      <c r="S51" s="310"/>
      <c r="T51" s="167" t="s">
        <v>86</v>
      </c>
      <c r="U51" s="167" t="s">
        <v>283</v>
      </c>
      <c r="V51" s="167" t="s">
        <v>90</v>
      </c>
      <c r="W51" s="194" t="s">
        <v>87</v>
      </c>
      <c r="X51" s="164" t="s">
        <v>227</v>
      </c>
      <c r="Y51" s="164" t="s">
        <v>228</v>
      </c>
      <c r="Z51" s="164" t="s">
        <v>261</v>
      </c>
      <c r="AA51" s="194" t="s">
        <v>306</v>
      </c>
      <c r="AB51" s="194" t="s">
        <v>307</v>
      </c>
      <c r="AC51" s="194"/>
      <c r="AD51" s="308" t="s">
        <v>204</v>
      </c>
      <c r="AE51" s="309"/>
      <c r="AF51" s="167" t="s">
        <v>79</v>
      </c>
      <c r="AG51" s="195" t="s">
        <v>88</v>
      </c>
      <c r="AH51" s="188"/>
      <c r="AI51" s="188"/>
      <c r="AJ51" s="188"/>
      <c r="AK51" s="188"/>
      <c r="AL51" s="188"/>
      <c r="AM51" s="188"/>
      <c r="AN51" s="188"/>
      <c r="AO51" s="188"/>
      <c r="AP51" s="126"/>
    </row>
    <row r="52" spans="2:42" s="186" customFormat="1" ht="20.25" x14ac:dyDescent="0.3">
      <c r="B52" s="196">
        <v>1</v>
      </c>
      <c r="C52" s="170" t="str">
        <f>IF(Бланк!$C72="","",Бланк!$C72/1000)</f>
        <v/>
      </c>
      <c r="D52" s="171" t="str">
        <f>IF(Бланк!$D72="","",Бланк!$D72/1000)</f>
        <v/>
      </c>
      <c r="E52" s="197">
        <f>Бланк!E72</f>
        <v>0</v>
      </c>
      <c r="F52" s="197">
        <f>Бланк!F72</f>
        <v>0</v>
      </c>
      <c r="G52" s="177">
        <f>Бланк!H72</f>
        <v>0</v>
      </c>
      <c r="H52" s="177">
        <f>Бланк!I72</f>
        <v>0</v>
      </c>
      <c r="I52" s="198" t="str">
        <f>IF(OR($H52="",$H52=0),"",Прайс!$D$41*$E52)</f>
        <v/>
      </c>
      <c r="J52" s="174" t="str">
        <f>IF(Бланк!$J72="","",Бланк!$J72/1000)</f>
        <v/>
      </c>
      <c r="K52" s="199">
        <f>Бланк!K72</f>
        <v>0</v>
      </c>
      <c r="L52" s="199">
        <f>Бланк!L72</f>
        <v>0</v>
      </c>
      <c r="M52" s="199">
        <f>Бланк!M72</f>
        <v>0</v>
      </c>
      <c r="N52" s="175">
        <f>IF($K52="","",IF($K52="J № 1",$J52*$E52,0))</f>
        <v>0</v>
      </c>
      <c r="O52" s="173">
        <f>IF($K52="","",IF($K52="J № 1",$N52*$E52*Прайс!$D$48,0))</f>
        <v>0</v>
      </c>
      <c r="P52" s="234">
        <f>IF($K52="",0,IF(OR($M52=$S52,$M52=0),0,$N52*Прайс!$D$62))</f>
        <v>0</v>
      </c>
      <c r="Q52" s="200">
        <f>Бланк!N72</f>
        <v>0</v>
      </c>
      <c r="R52" s="177">
        <f>Бланк!R72</f>
        <v>0</v>
      </c>
      <c r="S52" s="177">
        <f>Бланк!S72</f>
        <v>0</v>
      </c>
      <c r="T52" s="177" t="str">
        <f>IF(Бланк!T72="","",Бланк!T72)</f>
        <v/>
      </c>
      <c r="U52" s="177">
        <f>Бланк!W72</f>
        <v>0</v>
      </c>
      <c r="V52" s="177">
        <f>Бланк!AB72</f>
        <v>0</v>
      </c>
      <c r="W52" s="177">
        <f>Бланк!AC72</f>
        <v>0</v>
      </c>
      <c r="X52" s="175">
        <f>IF(OR($C52=0,$C52=""),0,IF(AND(OR($T52="",$T52=0),$V52="Матове",$F52=16),$AG52*Прайс!$H$10,IF(AND(OR($T52="",$T52=0),$V52="Матове+акрил",$F52=16),$AG52*Прайс!#REF!,IF(AND(OR($T52="",$T52=0),$V52="Софт(TS)",$F52=16),$AG52*Прайс!$H$11,IF(AND(OR($T52="",$T52=0),$V52="Глянець",$F52=16),$AG52*Прайс!$H$12,IF(AND(OR($T52="Перл.ср.",$T52="Перл.зол."),$F52=16),$AG52*Прайс!$H$13,IF(AND($T52="Гума",$F52=16),$AG52*Прайс!$H$14,IF(AND($T52="Металік",$F52=16),$AG52*Прайс!$H$15,IF(AND($T52="Рідке скло",$F52=16),$AG52*Прайс!$H$16,IF(AND(OR($T52="Перли",$T52="Графіт"),$F52=16),$AG52*Прайс!$H$17,IF(AND(OR($T52="Зор.н.ср.",$T52="Зор.н.зол.",$T52="Зор.н.різн."),$F52=16),$AG52*Прайс!$H$18,IF(AND($T52="2-х кол.х.",$F52=16),$AG52*Прайс!$H$19,IF(AND($T52="3-х кол.х.",$F52=16),$AG52*Прайс!$H$20,0)))))))))))))</f>
        <v>0</v>
      </c>
      <c r="Y52" s="175">
        <f>IF(OR($C52=0,$C52=""),0,IF(AND(OR($T52="",$T52=0),$V52="Матове",$F52=19),$AG52*Прайс!$I$10,IF(AND(OR($T52="",$T52=0),$V52="Матове+акрил",$F52=19),$AG52*Прайс!#REF!,IF(AND(OR($T52="",$T52=0),$V52="Софт(TS)",$F52=19),$AG52*Прайс!$I$11,IF(AND(OR($T52="",$T52=0),$V52="Глянець",$F52=19),$AG52*Прайс!$I$12,IF(AND(OR($T52="Перл.ср.",$T52="Перл.зол."),$F52=19),$AG52*Прайс!$I$13,IF(AND($T52="Гума",$F52=19),$AG52*Прайс!$I$14,IF(AND($T52="Металік",$F52=19),$AG52*Прайс!$I$15,IF(AND($T52="Рідке скло",$F52=19),$AG52*Прайс!$I$16,IF(AND(OR($T52="Перли",$T52="Графіт"),$F52=19),$AG52*Прайс!$I$17,IF(AND(OR($T52="Зор.н.ср.",$T52="Зор.н.зол.",$T52="Зор.н.різн."),$F52=19),$AG52*Прайс!$I$18,IF(AND($T52="2-х кол.х.",$F52=19),$AG52*Прайс!$I$19,IF(AND($T52="3-х кол.х.",$F52=19),$AG52*Прайс!$I$20,0)))))))))))))</f>
        <v>0</v>
      </c>
      <c r="Z52" s="175">
        <f>IF(OR($C52=0,$C52=""),0,IF(AND(OR($T52="",$T52=0),$W52="Матове",$F52=16),$AG52*(Прайс!$H$10-500),IF(AND(OR($T52="",$T52=0),$W52="Матове+акрил",$F52=16),$AG52*(Прайс!#REF!-500),IF(AND(OR($T52="",$T52=0),$W52="Софт(TS)",$F52=16),$AG52*(Прайс!$H$11-500),IF(AND(OR($T52="",$T52=0),$W52="Глянець",$F52=16),$AG52*(Прайс!$H$12-500),0)))))</f>
        <v>0</v>
      </c>
      <c r="AA52" s="178">
        <f>IF(Бланк!AD72=0,0,Бланк!AD72*E52)</f>
        <v>0</v>
      </c>
      <c r="AB52" s="201">
        <f>Бланк!AE72</f>
        <v>0</v>
      </c>
      <c r="AC52" s="175">
        <f>IF(OR(AA$3=0,$AA52=""),0,$AA52*Прайс!$D$49)</f>
        <v>0</v>
      </c>
      <c r="AD52" s="201">
        <f>Бланк!AF72</f>
        <v>0</v>
      </c>
      <c r="AE52" s="201">
        <f>Бланк!AG72</f>
        <v>0</v>
      </c>
      <c r="AF52" s="201">
        <f>Бланк!AH72</f>
        <v>0</v>
      </c>
      <c r="AG52" s="127">
        <f>Бланк!$AI72</f>
        <v>0</v>
      </c>
      <c r="AH52" s="188"/>
      <c r="AI52" s="188"/>
      <c r="AJ52" s="188"/>
      <c r="AK52" s="188"/>
      <c r="AL52" s="188"/>
      <c r="AM52" s="188"/>
      <c r="AN52" s="188"/>
      <c r="AO52" s="188"/>
      <c r="AP52" s="202"/>
    </row>
    <row r="53" spans="2:42" s="192" customFormat="1" ht="18" x14ac:dyDescent="0.25">
      <c r="B53" s="182">
        <v>2</v>
      </c>
      <c r="C53" s="170" t="str">
        <f>IF(Бланк!$C73="","",Бланк!$C73/1000)</f>
        <v/>
      </c>
      <c r="D53" s="171" t="str">
        <f>IF(Бланк!$D73="","",Бланк!$D73/1000)</f>
        <v/>
      </c>
      <c r="E53" s="197">
        <f>Бланк!E73</f>
        <v>0</v>
      </c>
      <c r="F53" s="197">
        <f>Бланк!F73</f>
        <v>0</v>
      </c>
      <c r="G53" s="177">
        <f>Бланк!H73</f>
        <v>0</v>
      </c>
      <c r="H53" s="177">
        <f>Бланк!I73</f>
        <v>0</v>
      </c>
      <c r="I53" s="198" t="str">
        <f>IF(OR($H53="",$H53=0),"",Прайс!$D$41*$E53)</f>
        <v/>
      </c>
      <c r="J53" s="174" t="str">
        <f>IF(Бланк!$J73="","",Бланк!$J73/1000)</f>
        <v/>
      </c>
      <c r="K53" s="199">
        <f>Бланк!K73</f>
        <v>0</v>
      </c>
      <c r="L53" s="199">
        <f>Бланк!L73</f>
        <v>0</v>
      </c>
      <c r="M53" s="199">
        <f>Бланк!M73</f>
        <v>0</v>
      </c>
      <c r="N53" s="175">
        <f t="shared" ref="N53:N56" si="1">IF($K53="","",IF($K53="J № 1",$J53*$E53,0))</f>
        <v>0</v>
      </c>
      <c r="O53" s="173">
        <f>IF($K53="","",IF($K53="J № 1",$N53*$E53*Прайс!$D$48,0))</f>
        <v>0</v>
      </c>
      <c r="P53" s="234">
        <f>IF($K53="",0,IF(OR($M53=$S53,$M53=0),0,$N53*Прайс!$D$62))</f>
        <v>0</v>
      </c>
      <c r="Q53" s="200">
        <f>Бланк!N73</f>
        <v>0</v>
      </c>
      <c r="R53" s="177">
        <f>Бланк!R73</f>
        <v>0</v>
      </c>
      <c r="S53" s="177">
        <f>Бланк!S73</f>
        <v>0</v>
      </c>
      <c r="T53" s="177" t="str">
        <f>IF(Бланк!T73="","",Бланк!T73)</f>
        <v/>
      </c>
      <c r="U53" s="177">
        <f>Бланк!W73</f>
        <v>0</v>
      </c>
      <c r="V53" s="177">
        <f>Бланк!AB73</f>
        <v>0</v>
      </c>
      <c r="W53" s="177">
        <f>Бланк!AC73</f>
        <v>0</v>
      </c>
      <c r="X53" s="175">
        <f>IF(OR($C53=0,$C53=""),0,IF(AND(OR($T53="",$T53=0),$V53="Матове",$F53=16),$AG53*Прайс!$H$10,IF(AND(OR($T53="",$T53=0),$V53="Матове+акрил",$F53=16),$AG53*Прайс!#REF!,IF(AND(OR($T53="",$T53=0),$V53="Софт(TS)",$F53=16),$AG53*Прайс!$H$11,IF(AND(OR($T53="",$T53=0),$V53="Глянець",$F53=16),$AG53*Прайс!$H$12,IF(AND(OR($T53="Перл.ср.",$T53="Перл.зол."),$F53=16),$AG53*Прайс!$H$13,IF(AND($T53="Гума",$F53=16),$AG53*Прайс!$H$14,IF(AND($T53="Металік",$F53=16),$AG53*Прайс!$H$15,IF(AND($T53="Рідке скло",$F53=16),$AG53*Прайс!$H$16,IF(AND(OR($T53="Перли",$T53="Графіт"),$F53=16),$AG53*Прайс!$H$17,IF(AND(OR($T53="Зор.н.ср.",$T53="Зор.н.зол.",$T53="Зор.н.різн."),$F53=16),$AG53*Прайс!$H$18,IF(AND($T53="2-х кол.х.",$F53=16),$AG53*Прайс!$H$19,IF(AND($T53="3-х кол.х.",$F53=16),$AG53*Прайс!$H$20,0)))))))))))))</f>
        <v>0</v>
      </c>
      <c r="Y53" s="175">
        <f>IF(OR($C53=0,$C53=""),0,IF(AND(OR($T53="",$T53=0),$V53="Матове",$F53=19),$AG53*Прайс!$I$10,IF(AND(OR($T53="",$T53=0),$V53="Матове+акрил",$F53=19),$AG53*Прайс!#REF!,IF(AND(OR($T53="",$T53=0),$V53="Софт(TS)",$F53=19),$AG53*Прайс!$I$11,IF(AND(OR($T53="",$T53=0),$V53="Глянець",$F53=19),$AG53*Прайс!$I$12,IF(AND(OR($T53="Перл.ср.",$T53="Перл.зол."),$F53=19),$AG53*Прайс!$I$13,IF(AND($T53="Гума",$F53=19),$AG53*Прайс!$I$14,IF(AND($T53="Металік",$F53=19),$AG53*Прайс!$I$15,IF(AND($T53="Рідке скло",$F53=19),$AG53*Прайс!$I$16,IF(AND(OR($T53="Перли",$T53="Графіт"),$F53=19),$AG53*Прайс!$I$17,IF(AND(OR($T53="Зор.н.ср.",$T53="Зор.н.зол.",$T53="Зор.н.різн."),$F53=19),$AG53*Прайс!$I$18,IF(AND($T53="2-х кол.х.",$F53=19),$AG53*Прайс!$I$19,IF(AND($T53="3-х кол.х.",$F53=19),$AG53*Прайс!$I$20,0)))))))))))))</f>
        <v>0</v>
      </c>
      <c r="Z53" s="175">
        <f>IF(OR($C53=0,$C53=""),0,IF(AND(OR($T53="",$T53=0),$W53="Матове",$F53=16),$AG53*(Прайс!$H$10-500),IF(AND(OR($T53="",$T53=0),$W53="Матове+акрил",$F53=16),$AG53*(Прайс!#REF!-500),IF(AND(OR($T53="",$T53=0),$W53="Софт(TS)",$F53=16),$AG53*(Прайс!$H$11-500),IF(AND(OR($T53="",$T53=0),$W53="Глянець",$F53=16),$AG53*(Прайс!$H$12-500),0)))))</f>
        <v>0</v>
      </c>
      <c r="AA53" s="178">
        <f>IF(Бланк!AD73=0,0,Бланк!AD73*E53)</f>
        <v>0</v>
      </c>
      <c r="AB53" s="201">
        <f>Бланк!AE73</f>
        <v>0</v>
      </c>
      <c r="AC53" s="175">
        <f>IF(OR(AA$3=0,$AA53=""),0,$AA53*Прайс!$D$49)</f>
        <v>0</v>
      </c>
      <c r="AD53" s="201">
        <f>Бланк!AF73</f>
        <v>0</v>
      </c>
      <c r="AE53" s="201">
        <f>Бланк!AG73</f>
        <v>0</v>
      </c>
      <c r="AF53" s="201">
        <f>Бланк!AH73</f>
        <v>0</v>
      </c>
      <c r="AG53" s="127">
        <f>Бланк!$AI73</f>
        <v>0</v>
      </c>
      <c r="AH53" s="159"/>
      <c r="AI53" s="159"/>
      <c r="AJ53" s="159"/>
      <c r="AK53" s="159"/>
      <c r="AL53" s="159"/>
      <c r="AM53" s="159"/>
      <c r="AN53" s="159"/>
      <c r="AO53" s="159"/>
      <c r="AP53" s="159"/>
    </row>
    <row r="54" spans="2:42" ht="18" x14ac:dyDescent="0.25">
      <c r="B54" s="203">
        <v>3</v>
      </c>
      <c r="C54" s="170" t="str">
        <f>IF(Бланк!$C74="","",Бланк!$C74/1000)</f>
        <v/>
      </c>
      <c r="D54" s="171" t="str">
        <f>IF(Бланк!$D74="","",Бланк!$D74/1000)</f>
        <v/>
      </c>
      <c r="E54" s="197">
        <f>Бланк!E74</f>
        <v>0</v>
      </c>
      <c r="F54" s="197">
        <f>Бланк!F74</f>
        <v>0</v>
      </c>
      <c r="G54" s="177">
        <f>Бланк!H74</f>
        <v>0</v>
      </c>
      <c r="H54" s="177">
        <f>Бланк!I74</f>
        <v>0</v>
      </c>
      <c r="I54" s="198" t="str">
        <f>IF(OR($H54="",$H54=0),"",Прайс!$D$41*$E54)</f>
        <v/>
      </c>
      <c r="J54" s="174" t="str">
        <f>IF(Бланк!$J74="","",Бланк!$J74/1000)</f>
        <v/>
      </c>
      <c r="K54" s="199">
        <f>Бланк!K74</f>
        <v>0</v>
      </c>
      <c r="L54" s="199">
        <f>Бланк!L74</f>
        <v>0</v>
      </c>
      <c r="M54" s="199">
        <f>Бланк!M74</f>
        <v>0</v>
      </c>
      <c r="N54" s="175">
        <f t="shared" si="1"/>
        <v>0</v>
      </c>
      <c r="O54" s="173">
        <f>IF($K54="","",IF($K54="J № 1",$N54*$E54*Прайс!$D$48,0))</f>
        <v>0</v>
      </c>
      <c r="P54" s="234">
        <f>IF($K54="",0,IF(OR($M54=$S54,$M54=0),0,$N54*Прайс!$D$62))</f>
        <v>0</v>
      </c>
      <c r="Q54" s="200">
        <f>Бланк!N74</f>
        <v>0</v>
      </c>
      <c r="R54" s="177">
        <f>Бланк!R74</f>
        <v>0</v>
      </c>
      <c r="S54" s="177">
        <f>Бланк!S74</f>
        <v>0</v>
      </c>
      <c r="T54" s="177" t="str">
        <f>IF(Бланк!T74="","",Бланк!T74)</f>
        <v/>
      </c>
      <c r="U54" s="177">
        <f>Бланк!W74</f>
        <v>0</v>
      </c>
      <c r="V54" s="177">
        <f>Бланк!AB74</f>
        <v>0</v>
      </c>
      <c r="W54" s="177">
        <f>Бланк!AC74</f>
        <v>0</v>
      </c>
      <c r="X54" s="175">
        <f>IF(OR($C54=0,$C54=""),0,IF(AND(OR($T54="",$T54=0),$V54="Матове",$F54=16),$AG54*Прайс!$H$10,IF(AND(OR($T54="",$T54=0),$V54="Матове+акрил",$F54=16),$AG54*Прайс!#REF!,IF(AND(OR($T54="",$T54=0),$V54="Софт(TS)",$F54=16),$AG54*Прайс!$H$11,IF(AND(OR($T54="",$T54=0),$V54="Глянець",$F54=16),$AG54*Прайс!$H$12,IF(AND(OR($T54="Перл.ср.",$T54="Перл.зол."),$F54=16),$AG54*Прайс!$H$13,IF(AND($T54="Гума",$F54=16),$AG54*Прайс!$H$14,IF(AND($T54="Металік",$F54=16),$AG54*Прайс!$H$15,IF(AND($T54="Рідке скло",$F54=16),$AG54*Прайс!$H$16,IF(AND(OR($T54="Перли",$T54="Графіт"),$F54=16),$AG54*Прайс!$H$17,IF(AND(OR($T54="Зор.н.ср.",$T54="Зор.н.зол.",$T54="Зор.н.різн."),$F54=16),$AG54*Прайс!$H$18,IF(AND($T54="2-х кол.х.",$F54=16),$AG54*Прайс!$H$19,IF(AND($T54="3-х кол.х.",$F54=16),$AG54*Прайс!$H$20,0)))))))))))))</f>
        <v>0</v>
      </c>
      <c r="Y54" s="175">
        <f>IF(OR($C54=0,$C54=""),0,IF(AND(OR($T54="",$T54=0),$V54="Матове",$F54=19),$AG54*Прайс!$I$10,IF(AND(OR($T54="",$T54=0),$V54="Матове+акрил",$F54=19),$AG54*Прайс!#REF!,IF(AND(OR($T54="",$T54=0),$V54="Софт(TS)",$F54=19),$AG54*Прайс!$I$11,IF(AND(OR($T54="",$T54=0),$V54="Глянець",$F54=19),$AG54*Прайс!$I$12,IF(AND(OR($T54="Перл.ср.",$T54="Перл.зол."),$F54=19),$AG54*Прайс!$I$13,IF(AND($T54="Гума",$F54=19),$AG54*Прайс!$I$14,IF(AND($T54="Металік",$F54=19),$AG54*Прайс!$I$15,IF(AND($T54="Рідке скло",$F54=19),$AG54*Прайс!$I$16,IF(AND(OR($T54="Перли",$T54="Графіт"),$F54=19),$AG54*Прайс!$I$17,IF(AND(OR($T54="Зор.н.ср.",$T54="Зор.н.зол.",$T54="Зор.н.різн."),$F54=19),$AG54*Прайс!$I$18,IF(AND($T54="2-х кол.х.",$F54=19),$AG54*Прайс!$I$19,IF(AND($T54="3-х кол.х.",$F54=19),$AG54*Прайс!$I$20,0)))))))))))))</f>
        <v>0</v>
      </c>
      <c r="Z54" s="175">
        <f>IF(OR($C54=0,$C54=""),0,IF(AND(OR($T54="",$T54=0),$W54="Матове",$F54=16),$AG54*(Прайс!$H$10-500),IF(AND(OR($T54="",$T54=0),$W54="Матове+акрил",$F54=16),$AG54*(Прайс!#REF!-500),IF(AND(OR($T54="",$T54=0),$W54="Софт(TS)",$F54=16),$AG54*(Прайс!$H$11-500),IF(AND(OR($T54="",$T54=0),$W54="Глянець",$F54=16),$AG54*(Прайс!$H$12-500),0)))))</f>
        <v>0</v>
      </c>
      <c r="AA54" s="178">
        <f>IF(Бланк!AD74=0,0,Бланк!AD74*E54)</f>
        <v>0</v>
      </c>
      <c r="AB54" s="201">
        <f>Бланк!AE74</f>
        <v>0</v>
      </c>
      <c r="AC54" s="175">
        <f>IF(OR(AA$3=0,$AA54=""),0,$AA54*Прайс!$D$49)</f>
        <v>0</v>
      </c>
      <c r="AD54" s="201">
        <f>Бланк!AF74</f>
        <v>0</v>
      </c>
      <c r="AE54" s="201">
        <f>Бланк!AG74</f>
        <v>0</v>
      </c>
      <c r="AF54" s="201">
        <f>Бланк!AH74</f>
        <v>0</v>
      </c>
      <c r="AG54" s="127">
        <f>Бланк!$AI74</f>
        <v>0</v>
      </c>
      <c r="AH54" s="179"/>
      <c r="AI54" s="179"/>
      <c r="AJ54" s="180"/>
      <c r="AK54" s="180"/>
      <c r="AL54" s="179"/>
      <c r="AM54" s="179"/>
      <c r="AN54" s="179"/>
      <c r="AO54" s="179"/>
      <c r="AP54" s="179"/>
    </row>
    <row r="55" spans="2:42" s="186" customFormat="1" ht="21" customHeight="1" x14ac:dyDescent="0.3">
      <c r="B55" s="182">
        <v>4</v>
      </c>
      <c r="C55" s="170" t="str">
        <f>IF(Бланк!$C75="","",Бланк!$C75/1000)</f>
        <v/>
      </c>
      <c r="D55" s="171" t="str">
        <f>IF(Бланк!$D75="","",Бланк!$D75/1000)</f>
        <v/>
      </c>
      <c r="E55" s="197">
        <f>Бланк!E75</f>
        <v>0</v>
      </c>
      <c r="F55" s="197">
        <f>Бланк!F75</f>
        <v>0</v>
      </c>
      <c r="G55" s="177">
        <f>Бланк!H75</f>
        <v>0</v>
      </c>
      <c r="H55" s="177">
        <f>Бланк!I75</f>
        <v>0</v>
      </c>
      <c r="I55" s="198" t="str">
        <f>IF(OR($H55="",$H55=0),"",Прайс!$D$41*$E55)</f>
        <v/>
      </c>
      <c r="J55" s="174" t="str">
        <f>IF(Бланк!$J75="","",Бланк!$J75/1000)</f>
        <v/>
      </c>
      <c r="K55" s="199">
        <f>Бланк!K75</f>
        <v>0</v>
      </c>
      <c r="L55" s="199">
        <f>Бланк!L75</f>
        <v>0</v>
      </c>
      <c r="M55" s="199">
        <f>Бланк!M75</f>
        <v>0</v>
      </c>
      <c r="N55" s="175">
        <f t="shared" si="1"/>
        <v>0</v>
      </c>
      <c r="O55" s="173">
        <f>IF($K55="","",IF($K55="J № 1",$N55*$E55*Прайс!$D$48,0))</f>
        <v>0</v>
      </c>
      <c r="P55" s="234">
        <f>IF($K55="",0,IF(OR($M55=$S55,$M55=0),0,$N55*Прайс!$D$62))</f>
        <v>0</v>
      </c>
      <c r="Q55" s="200">
        <f>Бланк!N75</f>
        <v>0</v>
      </c>
      <c r="R55" s="177">
        <f>Бланк!R75</f>
        <v>0</v>
      </c>
      <c r="S55" s="177">
        <f>Бланк!S75</f>
        <v>0</v>
      </c>
      <c r="T55" s="177" t="str">
        <f>IF(Бланк!T75="","",Бланк!T75)</f>
        <v/>
      </c>
      <c r="U55" s="177">
        <f>Бланк!W75</f>
        <v>0</v>
      </c>
      <c r="V55" s="177">
        <f>Бланк!AB75</f>
        <v>0</v>
      </c>
      <c r="W55" s="177">
        <f>Бланк!AC75</f>
        <v>0</v>
      </c>
      <c r="X55" s="175">
        <f>IF(OR($C55=0,$C55=""),0,IF(AND(OR($T55="",$T55=0),$V55="Матове",$F55=16),$AG55*Прайс!$H$10,IF(AND(OR($T55="",$T55=0),$V55="Матове+акрил",$F55=16),$AG55*Прайс!#REF!,IF(AND(OR($T55="",$T55=0),$V55="Софт(TS)",$F55=16),$AG55*Прайс!$H$11,IF(AND(OR($T55="",$T55=0),$V55="Глянець",$F55=16),$AG55*Прайс!$H$12,IF(AND(OR($T55="Перл.ср.",$T55="Перл.зол."),$F55=16),$AG55*Прайс!$H$13,IF(AND($T55="Гума",$F55=16),$AG55*Прайс!$H$14,IF(AND($T55="Металік",$F55=16),$AG55*Прайс!$H$15,IF(AND($T55="Рідке скло",$F55=16),$AG55*Прайс!$H$16,IF(AND(OR($T55="Перли",$T55="Графіт"),$F55=16),$AG55*Прайс!$H$17,IF(AND(OR($T55="Зор.н.ср.",$T55="Зор.н.зол.",$T55="Зор.н.різн."),$F55=16),$AG55*Прайс!$H$18,IF(AND($T55="2-х кол.х.",$F55=16),$AG55*Прайс!$H$19,IF(AND($T55="3-х кол.х.",$F55=16),$AG55*Прайс!$H$20,0)))))))))))))</f>
        <v>0</v>
      </c>
      <c r="Y55" s="175">
        <f>IF(OR($C55=0,$C55=""),0,IF(AND(OR($T55="",$T55=0),$V55="Матове",$F55=19),$AG55*Прайс!$I$10,IF(AND(OR($T55="",$T55=0),$V55="Матове+акрил",$F55=19),$AG55*Прайс!#REF!,IF(AND(OR($T55="",$T55=0),$V55="Софт(TS)",$F55=19),$AG55*Прайс!$I$11,IF(AND(OR($T55="",$T55=0),$V55="Глянець",$F55=19),$AG55*Прайс!$I$12,IF(AND(OR($T55="Перл.ср.",$T55="Перл.зол."),$F55=19),$AG55*Прайс!$I$13,IF(AND($T55="Гума",$F55=19),$AG55*Прайс!$I$14,IF(AND($T55="Металік",$F55=19),$AG55*Прайс!$I$15,IF(AND($T55="Рідке скло",$F55=19),$AG55*Прайс!$I$16,IF(AND(OR($T55="Перли",$T55="Графіт"),$F55=19),$AG55*Прайс!$I$17,IF(AND(OR($T55="Зор.н.ср.",$T55="Зор.н.зол.",$T55="Зор.н.різн."),$F55=19),$AG55*Прайс!$I$18,IF(AND($T55="2-х кол.х.",$F55=19),$AG55*Прайс!$I$19,IF(AND($T55="3-х кол.х.",$F55=19),$AG55*Прайс!$I$20,0)))))))))))))</f>
        <v>0</v>
      </c>
      <c r="Z55" s="175">
        <f>IF(OR($C55=0,$C55=""),0,IF(AND(OR($T55="",$T55=0),$W55="Матове",$F55=16),$AG55*(Прайс!$H$10-500),IF(AND(OR($T55="",$T55=0),$W55="Матове+акрил",$F55=16),$AG55*(Прайс!#REF!-500),IF(AND(OR($T55="",$T55=0),$W55="Софт(TS)",$F55=16),$AG55*(Прайс!$H$11-500),IF(AND(OR($T55="",$T55=0),$W55="Глянець",$F55=16),$AG55*(Прайс!$H$12-500),0)))))</f>
        <v>0</v>
      </c>
      <c r="AA55" s="178">
        <f>IF(Бланк!AD75=0,0,Бланк!AD75*E55)</f>
        <v>0</v>
      </c>
      <c r="AB55" s="201">
        <f>Бланк!AE75</f>
        <v>0</v>
      </c>
      <c r="AC55" s="175">
        <f>IF(OR(AA$3=0,$AA55=""),0,$AA55*Прайс!$D$49)</f>
        <v>0</v>
      </c>
      <c r="AD55" s="201">
        <f>Бланк!AF75</f>
        <v>0</v>
      </c>
      <c r="AE55" s="201">
        <f>Бланк!AG75</f>
        <v>0</v>
      </c>
      <c r="AF55" s="201">
        <f>Бланк!AH75</f>
        <v>0</v>
      </c>
      <c r="AG55" s="127">
        <f>Бланк!$AI75</f>
        <v>0</v>
      </c>
      <c r="AH55" s="183"/>
      <c r="AI55" s="183"/>
      <c r="AJ55" s="184"/>
      <c r="AK55" s="183"/>
      <c r="AL55" s="188"/>
      <c r="AM55" s="188"/>
      <c r="AN55" s="188"/>
      <c r="AO55" s="188"/>
      <c r="AP55" s="185"/>
    </row>
    <row r="56" spans="2:42" s="186" customFormat="1" ht="21" customHeight="1" x14ac:dyDescent="0.3">
      <c r="B56" s="203">
        <v>5</v>
      </c>
      <c r="C56" s="170" t="str">
        <f>IF(Бланк!$C76="","",Бланк!$C76/1000)</f>
        <v/>
      </c>
      <c r="D56" s="171" t="str">
        <f>IF(Бланк!$D76="","",Бланк!$D76/1000)</f>
        <v/>
      </c>
      <c r="E56" s="197">
        <f>Бланк!E76</f>
        <v>0</v>
      </c>
      <c r="F56" s="197">
        <f>Бланк!F76</f>
        <v>0</v>
      </c>
      <c r="G56" s="177">
        <f>Бланк!H76</f>
        <v>0</v>
      </c>
      <c r="H56" s="177">
        <f>Бланк!I76</f>
        <v>0</v>
      </c>
      <c r="I56" s="198" t="str">
        <f>IF(OR($H56="",$H56=0),"",Прайс!$D$41*$E56)</f>
        <v/>
      </c>
      <c r="J56" s="174" t="str">
        <f>IF(Бланк!$J76="","",Бланк!$J76/1000)</f>
        <v/>
      </c>
      <c r="K56" s="199">
        <f>Бланк!K76</f>
        <v>0</v>
      </c>
      <c r="L56" s="199">
        <f>Бланк!L76</f>
        <v>0</v>
      </c>
      <c r="M56" s="199">
        <f>Бланк!M76</f>
        <v>0</v>
      </c>
      <c r="N56" s="175">
        <f t="shared" si="1"/>
        <v>0</v>
      </c>
      <c r="O56" s="173">
        <f>IF($K56="","",IF($K56="J № 1",$N56*$E56*Прайс!$D$48,0))</f>
        <v>0</v>
      </c>
      <c r="P56" s="234">
        <f>IF($K56="",0,IF(OR($M56=$S56,$M56=0),0,$N56*Прайс!$D$62))</f>
        <v>0</v>
      </c>
      <c r="Q56" s="200">
        <f>Бланк!N76</f>
        <v>0</v>
      </c>
      <c r="R56" s="177">
        <f>Бланк!R76</f>
        <v>0</v>
      </c>
      <c r="S56" s="177">
        <f>Бланк!S76</f>
        <v>0</v>
      </c>
      <c r="T56" s="177" t="str">
        <f>IF(Бланк!T76="","",Бланк!T76)</f>
        <v/>
      </c>
      <c r="U56" s="177">
        <f>Бланк!W76</f>
        <v>0</v>
      </c>
      <c r="V56" s="177">
        <f>Бланк!AB76</f>
        <v>0</v>
      </c>
      <c r="W56" s="177">
        <f>Бланк!AC76</f>
        <v>0</v>
      </c>
      <c r="X56" s="175">
        <f>IF(OR($C56=0,$C56=""),0,IF(AND(OR($T56="",$T56=0),$V56="Матове",$F56=16),$AG56*Прайс!$H$10,IF(AND(OR($T56="",$T56=0),$V56="Матове+акрил",$F56=16),$AG56*Прайс!#REF!,IF(AND(OR($T56="",$T56=0),$V56="Софт(TS)",$F56=16),$AG56*Прайс!$H$11,IF(AND(OR($T56="",$T56=0),$V56="Глянець",$F56=16),$AG56*Прайс!$H$12,IF(AND(OR($T56="Перл.ср.",$T56="Перл.зол."),$F56=16),$AG56*Прайс!$H$13,IF(AND($T56="Гума",$F56=16),$AG56*Прайс!$H$14,IF(AND($T56="Металік",$F56=16),$AG56*Прайс!$H$15,IF(AND($T56="Рідке скло",$F56=16),$AG56*Прайс!$H$16,IF(AND(OR($T56="Перли",$T56="Графіт"),$F56=16),$AG56*Прайс!$H$17,IF(AND(OR($T56="Зор.н.ср.",$T56="Зор.н.зол.",$T56="Зор.н.різн."),$F56=16),$AG56*Прайс!$H$18,IF(AND($T56="2-х кол.х.",$F56=16),$AG56*Прайс!$H$19,IF(AND($T56="3-х кол.х.",$F56=16),$AG56*Прайс!$H$20,0)))))))))))))</f>
        <v>0</v>
      </c>
      <c r="Y56" s="175">
        <f>IF(OR($C56=0,$C56=""),0,IF(AND(OR($T56="",$T56=0),$V56="Матове",$F56=19),$AG56*Прайс!$I$10,IF(AND(OR($T56="",$T56=0),$V56="Матове+акрил",$F56=19),$AG56*Прайс!#REF!,IF(AND(OR($T56="",$T56=0),$V56="Софт(TS)",$F56=19),$AG56*Прайс!$I$11,IF(AND(OR($T56="",$T56=0),$V56="Глянець",$F56=19),$AG56*Прайс!$I$12,IF(AND(OR($T56="Перл.ср.",$T56="Перл.зол."),$F56=19),$AG56*Прайс!$I$13,IF(AND($T56="Гума",$F56=19),$AG56*Прайс!$I$14,IF(AND($T56="Металік",$F56=19),$AG56*Прайс!$I$15,IF(AND($T56="Рідке скло",$F56=19),$AG56*Прайс!$I$16,IF(AND(OR($T56="Перли",$T56="Графіт"),$F56=19),$AG56*Прайс!$I$17,IF(AND(OR($T56="Зор.н.ср.",$T56="Зор.н.зол.",$T56="Зор.н.різн."),$F56=19),$AG56*Прайс!$I$18,IF(AND($T56="2-х кол.х.",$F56=19),$AG56*Прайс!$I$19,IF(AND($T56="3-х кол.х.",$F56=19),$AG56*Прайс!$I$20,0)))))))))))))</f>
        <v>0</v>
      </c>
      <c r="Z56" s="175">
        <f>IF(OR($C56=0,$C56=""),0,IF(AND(OR($T56="",$T56=0),$W56="Матове",$F56=16),$AG56*(Прайс!$H$10-500),IF(AND(OR($T56="",$T56=0),$W56="Матове+акрил",$F56=16),$AG56*(Прайс!#REF!-500),IF(AND(OR($T56="",$T56=0),$W56="Софт(TS)",$F56=16),$AG56*(Прайс!$H$11-500),IF(AND(OR($T56="",$T56=0),$W56="Глянець",$F56=16),$AG56*(Прайс!$H$12-500),0)))))</f>
        <v>0</v>
      </c>
      <c r="AA56" s="178">
        <f>IF(Бланк!AD76=0,0,Бланк!AD76*E56)</f>
        <v>0</v>
      </c>
      <c r="AB56" s="201">
        <f>Бланк!AE76</f>
        <v>0</v>
      </c>
      <c r="AC56" s="175">
        <f>IF(OR(AA$3=0,$AA56=""),0,$AA56*Прайс!$D$49)</f>
        <v>0</v>
      </c>
      <c r="AD56" s="201">
        <f>Бланк!AF76</f>
        <v>0</v>
      </c>
      <c r="AE56" s="201">
        <f>Бланк!AG76</f>
        <v>0</v>
      </c>
      <c r="AF56" s="201">
        <f>Бланк!AH76</f>
        <v>0</v>
      </c>
      <c r="AG56" s="127">
        <f>Бланк!$AI76</f>
        <v>0</v>
      </c>
      <c r="AH56" s="183"/>
      <c r="AI56" s="183"/>
      <c r="AJ56" s="184"/>
      <c r="AK56" s="183"/>
      <c r="AL56" s="188"/>
      <c r="AM56" s="188"/>
      <c r="AN56" s="188"/>
      <c r="AO56" s="188"/>
      <c r="AP56" s="185"/>
    </row>
    <row r="57" spans="2:42" s="186" customFormat="1" ht="21" customHeight="1" x14ac:dyDescent="0.3">
      <c r="B57" s="188" t="s">
        <v>8</v>
      </c>
      <c r="C57" s="159"/>
      <c r="D57" s="188"/>
      <c r="E57" s="188">
        <v>0</v>
      </c>
      <c r="F57" s="188"/>
      <c r="G57" s="188"/>
      <c r="H57" s="188">
        <v>0</v>
      </c>
      <c r="I57" s="188"/>
      <c r="J57" s="188">
        <v>0</v>
      </c>
      <c r="K57" s="188">
        <v>0</v>
      </c>
      <c r="L57" s="188"/>
      <c r="M57" s="188"/>
      <c r="N57" s="188"/>
      <c r="O57" s="188"/>
      <c r="P57" s="188"/>
      <c r="Q57" s="188"/>
      <c r="R57" s="188"/>
      <c r="S57" s="188"/>
      <c r="T57" s="188"/>
      <c r="U57" s="188"/>
      <c r="V57" s="188"/>
      <c r="W57" s="204"/>
      <c r="X57" s="204"/>
      <c r="Y57" s="204"/>
      <c r="Z57" s="204"/>
      <c r="AA57" s="128">
        <f>SUM(AA52:AA56)</f>
        <v>0</v>
      </c>
      <c r="AB57" s="204"/>
      <c r="AC57" s="204"/>
      <c r="AD57" s="204"/>
      <c r="AE57" s="204"/>
      <c r="AF57" s="204"/>
      <c r="AG57" s="124">
        <f>Бланк!AI77</f>
        <v>0</v>
      </c>
      <c r="AH57" s="183"/>
      <c r="AI57" s="183"/>
      <c r="AJ57" s="184"/>
      <c r="AK57" s="183"/>
      <c r="AL57" s="188"/>
      <c r="AM57" s="188"/>
      <c r="AN57" s="188"/>
      <c r="AO57" s="188"/>
      <c r="AP57" s="185"/>
    </row>
    <row r="58" spans="2:42" s="186" customFormat="1" ht="21" customHeight="1" x14ac:dyDescent="0.3">
      <c r="B58" s="305" t="s">
        <v>15</v>
      </c>
      <c r="C58" s="306"/>
      <c r="D58" s="307"/>
      <c r="E58" s="205">
        <v>0</v>
      </c>
      <c r="F58" s="192"/>
      <c r="G58" s="192"/>
      <c r="H58" s="192"/>
      <c r="I58" s="192"/>
      <c r="J58" s="192"/>
      <c r="K58" s="192"/>
      <c r="L58" s="192"/>
      <c r="M58" s="192"/>
      <c r="N58" s="192"/>
      <c r="O58" s="192"/>
      <c r="P58" s="192"/>
      <c r="Q58" s="192"/>
      <c r="R58" s="192"/>
      <c r="S58" s="192"/>
      <c r="T58" s="192"/>
      <c r="U58" s="192"/>
      <c r="V58" s="192"/>
      <c r="W58" s="192"/>
      <c r="X58" s="192"/>
      <c r="Y58" s="192"/>
      <c r="Z58" s="192"/>
      <c r="AA58" s="192"/>
      <c r="AB58" s="192"/>
      <c r="AC58" s="192"/>
      <c r="AD58" s="192"/>
      <c r="AE58" s="192"/>
      <c r="AF58" s="192"/>
      <c r="AG58" s="124">
        <f>Бланк!AI78</f>
        <v>0</v>
      </c>
      <c r="AH58" s="183"/>
      <c r="AI58" s="183"/>
      <c r="AJ58" s="184"/>
      <c r="AK58" s="183"/>
      <c r="AL58" s="188"/>
      <c r="AM58" s="188"/>
      <c r="AN58" s="188"/>
      <c r="AO58" s="188"/>
      <c r="AP58" s="185"/>
    </row>
    <row r="59" spans="2:42" s="186" customFormat="1" ht="21" customHeight="1" x14ac:dyDescent="0.3">
      <c r="B59" s="206"/>
      <c r="C59" s="207"/>
      <c r="D59" s="207"/>
      <c r="E59" s="188"/>
      <c r="F59" s="188"/>
      <c r="G59" s="184"/>
      <c r="H59" s="184"/>
      <c r="I59" s="184"/>
      <c r="J59" s="184"/>
      <c r="K59" s="188"/>
      <c r="L59" s="188"/>
      <c r="M59" s="188"/>
      <c r="N59" s="188"/>
      <c r="O59" s="188"/>
      <c r="P59" s="188"/>
      <c r="Q59" s="188"/>
      <c r="R59" s="188"/>
      <c r="S59" s="183"/>
      <c r="T59" s="184"/>
      <c r="U59" s="184"/>
      <c r="V59" s="184"/>
      <c r="W59" s="188"/>
      <c r="X59" s="188"/>
      <c r="Y59" s="188"/>
      <c r="Z59" s="188"/>
      <c r="AA59" s="188"/>
      <c r="AB59" s="188"/>
      <c r="AC59" s="188"/>
      <c r="AD59" s="184"/>
      <c r="AE59" s="188"/>
      <c r="AF59" s="188"/>
      <c r="AG59" s="183"/>
      <c r="AH59" s="183"/>
      <c r="AI59" s="183"/>
      <c r="AJ59" s="184"/>
      <c r="AK59" s="183"/>
      <c r="AL59" s="188"/>
      <c r="AM59" s="188"/>
      <c r="AN59" s="188"/>
      <c r="AO59" s="188"/>
      <c r="AP59" s="185"/>
    </row>
    <row r="60" spans="2:42" ht="15.75" x14ac:dyDescent="0.25">
      <c r="B60" s="188"/>
      <c r="C60" s="159"/>
      <c r="D60" s="188"/>
      <c r="E60" s="188"/>
      <c r="F60" s="188"/>
      <c r="G60" s="188"/>
      <c r="H60" s="188"/>
      <c r="I60" s="188"/>
      <c r="J60" s="188"/>
      <c r="K60" s="188"/>
      <c r="L60" s="188"/>
      <c r="M60" s="188"/>
      <c r="N60" s="188"/>
      <c r="O60" s="188"/>
      <c r="P60" s="188"/>
      <c r="Q60" s="188"/>
      <c r="R60" s="188"/>
      <c r="S60" s="188"/>
      <c r="T60" s="188"/>
      <c r="U60" s="188"/>
      <c r="V60" s="188"/>
      <c r="W60" s="188"/>
      <c r="X60" s="188"/>
      <c r="Y60" s="188"/>
      <c r="Z60" s="188"/>
      <c r="AA60" s="188"/>
      <c r="AB60" s="188"/>
      <c r="AC60" s="188"/>
      <c r="AD60" s="188"/>
      <c r="AE60" s="188"/>
      <c r="AF60" s="204"/>
      <c r="AG60" s="204"/>
      <c r="AH60" s="204"/>
      <c r="AI60" s="204"/>
      <c r="AJ60" s="204"/>
      <c r="AK60" s="204"/>
      <c r="AL60" s="204"/>
      <c r="AM60" s="204"/>
      <c r="AN60" s="204"/>
      <c r="AO60" s="204"/>
      <c r="AP60" s="124"/>
    </row>
    <row r="61" spans="2:42" s="186" customFormat="1" ht="20.25" x14ac:dyDescent="0.3">
      <c r="B61" s="159"/>
      <c r="C61" s="159"/>
      <c r="D61" s="159"/>
      <c r="E61" s="128"/>
      <c r="F61" s="192"/>
      <c r="G61" s="192"/>
      <c r="H61" s="192"/>
      <c r="I61" s="192"/>
      <c r="J61" s="192"/>
      <c r="K61" s="192"/>
      <c r="L61" s="192"/>
      <c r="M61" s="192"/>
      <c r="N61" s="192"/>
      <c r="O61" s="192"/>
      <c r="P61" s="192"/>
      <c r="Q61" s="192"/>
      <c r="R61" s="192"/>
      <c r="S61" s="192"/>
      <c r="T61" s="192"/>
      <c r="U61" s="192"/>
      <c r="V61" s="192"/>
      <c r="W61" s="192"/>
      <c r="X61" s="192"/>
      <c r="Y61" s="192"/>
      <c r="Z61" s="192"/>
      <c r="AA61" s="192"/>
      <c r="AB61" s="192"/>
      <c r="AC61" s="192"/>
      <c r="AD61" s="192"/>
      <c r="AE61" s="192"/>
      <c r="AF61" s="192"/>
      <c r="AG61" s="192"/>
      <c r="AH61" s="192"/>
      <c r="AI61" s="192"/>
      <c r="AJ61" s="192"/>
      <c r="AK61" s="192"/>
      <c r="AL61" s="192"/>
      <c r="AM61" s="192"/>
      <c r="AN61" s="192"/>
      <c r="AO61" s="192"/>
      <c r="AP61" s="125"/>
    </row>
    <row r="62" spans="2:42" ht="15.75" x14ac:dyDescent="0.25">
      <c r="B62" s="159"/>
      <c r="C62" s="159"/>
      <c r="D62" s="159"/>
      <c r="E62" s="128"/>
      <c r="F62" s="192"/>
      <c r="G62" s="192"/>
      <c r="H62" s="192"/>
      <c r="I62" s="192"/>
      <c r="J62" s="192"/>
      <c r="K62" s="192"/>
      <c r="L62" s="192"/>
      <c r="M62" s="192"/>
      <c r="N62" s="192"/>
      <c r="O62" s="192"/>
      <c r="P62" s="192"/>
      <c r="Q62" s="192"/>
      <c r="R62" s="192"/>
      <c r="S62" s="192"/>
      <c r="T62" s="192"/>
      <c r="U62" s="192"/>
      <c r="V62" s="192"/>
      <c r="W62" s="192"/>
      <c r="X62" s="192"/>
      <c r="Y62" s="192"/>
      <c r="Z62" s="192"/>
      <c r="AA62" s="192"/>
      <c r="AB62" s="192"/>
      <c r="AC62" s="192"/>
      <c r="AD62" s="192"/>
      <c r="AE62" s="192"/>
      <c r="AF62" s="192"/>
      <c r="AG62" s="192"/>
      <c r="AH62" s="192"/>
      <c r="AI62" s="192"/>
      <c r="AJ62" s="192"/>
      <c r="AK62" s="192"/>
      <c r="AL62" s="192"/>
      <c r="AM62" s="192"/>
      <c r="AN62" s="192"/>
      <c r="AO62" s="192"/>
      <c r="AP62" s="125"/>
    </row>
    <row r="63" spans="2:42" ht="15.75" x14ac:dyDescent="0.25">
      <c r="B63" s="208"/>
      <c r="C63" s="208"/>
      <c r="D63" s="209"/>
      <c r="E63" s="209"/>
      <c r="F63" s="209"/>
      <c r="G63" s="210"/>
      <c r="H63" s="210"/>
      <c r="I63" s="210"/>
      <c r="J63" s="210"/>
      <c r="K63" s="192"/>
      <c r="L63" s="192"/>
      <c r="M63" s="192"/>
      <c r="N63" s="192"/>
      <c r="O63" s="192"/>
      <c r="P63" s="192"/>
      <c r="Q63" s="192"/>
      <c r="R63" s="192"/>
      <c r="S63" s="192"/>
      <c r="T63" s="192"/>
      <c r="U63" s="192"/>
      <c r="V63" s="192"/>
      <c r="W63" s="192"/>
      <c r="X63" s="192"/>
      <c r="Y63" s="192"/>
      <c r="Z63" s="192"/>
      <c r="AA63" s="192"/>
      <c r="AB63" s="192"/>
      <c r="AC63" s="192"/>
      <c r="AD63" s="192"/>
      <c r="AE63" s="192"/>
      <c r="AF63" s="192"/>
      <c r="AG63" s="192"/>
      <c r="AH63" s="192"/>
      <c r="AI63" s="192"/>
      <c r="AJ63" s="192"/>
      <c r="AK63" s="192"/>
      <c r="AL63" s="192"/>
      <c r="AM63" s="192"/>
      <c r="AN63" s="192"/>
      <c r="AO63" s="192"/>
      <c r="AP63" s="189"/>
    </row>
    <row r="64" spans="2:42" ht="15.75" x14ac:dyDescent="0.25">
      <c r="B64" s="208"/>
      <c r="C64" s="208"/>
      <c r="D64" s="209"/>
      <c r="E64" s="209"/>
      <c r="F64" s="209"/>
      <c r="G64" s="210"/>
      <c r="H64" s="210"/>
      <c r="I64" s="210"/>
      <c r="J64" s="210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2"/>
      <c r="AG64" s="212"/>
      <c r="AH64" s="212"/>
      <c r="AI64" s="212"/>
      <c r="AJ64" s="212"/>
      <c r="AK64" s="212"/>
      <c r="AL64" s="212"/>
      <c r="AM64" s="212"/>
      <c r="AN64" s="212"/>
      <c r="AO64" s="212"/>
      <c r="AP64" s="202"/>
    </row>
    <row r="65" spans="2:42" ht="15.75" x14ac:dyDescent="0.25">
      <c r="B65" s="159"/>
      <c r="C65" s="159"/>
      <c r="D65" s="159"/>
      <c r="E65" s="159"/>
      <c r="F65" s="159"/>
      <c r="G65" s="159"/>
      <c r="H65" s="159"/>
      <c r="I65" s="159"/>
      <c r="J65" s="159"/>
      <c r="K65" s="159"/>
      <c r="L65" s="159"/>
      <c r="M65" s="159"/>
      <c r="N65" s="159"/>
      <c r="O65" s="159"/>
      <c r="P65" s="159"/>
      <c r="Q65" s="159"/>
      <c r="R65" s="159"/>
      <c r="S65" s="159"/>
      <c r="T65" s="159"/>
      <c r="U65" s="159"/>
      <c r="V65" s="159"/>
      <c r="W65" s="159"/>
      <c r="X65" s="159"/>
      <c r="Y65" s="159"/>
      <c r="Z65" s="159"/>
      <c r="AA65" s="159"/>
      <c r="AB65" s="159"/>
      <c r="AC65" s="159"/>
      <c r="AD65" s="159"/>
      <c r="AE65" s="159"/>
      <c r="AF65" s="159"/>
      <c r="AG65" s="159"/>
      <c r="AH65" s="159"/>
      <c r="AI65" s="159"/>
      <c r="AJ65" s="159"/>
      <c r="AK65" s="159"/>
      <c r="AL65" s="159"/>
      <c r="AM65" s="159"/>
      <c r="AN65" s="159"/>
      <c r="AO65" s="159"/>
      <c r="AP65" s="159"/>
    </row>
    <row r="66" spans="2:42" ht="15.75" x14ac:dyDescent="0.25">
      <c r="B66" s="159"/>
      <c r="C66" s="159"/>
      <c r="D66" s="188"/>
      <c r="E66" s="188"/>
      <c r="F66" s="188"/>
      <c r="G66" s="188"/>
      <c r="H66" s="188"/>
      <c r="I66" s="188"/>
      <c r="J66" s="188"/>
      <c r="K66" s="188"/>
      <c r="L66" s="188"/>
      <c r="M66" s="188"/>
      <c r="N66" s="188"/>
      <c r="O66" s="188"/>
      <c r="P66" s="188"/>
      <c r="Q66" s="188"/>
      <c r="R66" s="188"/>
      <c r="S66" s="188"/>
      <c r="T66" s="188"/>
      <c r="U66" s="188"/>
      <c r="AF66" s="159"/>
      <c r="AG66" s="159"/>
      <c r="AH66" s="159"/>
      <c r="AI66" s="159"/>
      <c r="AJ66" s="159"/>
      <c r="AK66" s="159"/>
      <c r="AL66" s="159"/>
      <c r="AM66" s="159"/>
      <c r="AN66" s="159"/>
      <c r="AO66" s="159"/>
      <c r="AP66" s="159"/>
    </row>
    <row r="67" spans="2:42" ht="15.75" x14ac:dyDescent="0.25">
      <c r="B67" s="159"/>
      <c r="C67" s="159"/>
      <c r="D67" s="159"/>
      <c r="E67" s="159"/>
      <c r="F67" s="159"/>
      <c r="G67" s="159"/>
      <c r="H67" s="159"/>
      <c r="I67" s="159"/>
      <c r="J67" s="159"/>
      <c r="K67" s="159"/>
      <c r="L67" s="208"/>
      <c r="M67" s="125"/>
      <c r="N67" s="125"/>
      <c r="O67" s="125"/>
      <c r="P67" s="125"/>
      <c r="Q67" s="125"/>
      <c r="R67" s="188"/>
      <c r="S67" s="189"/>
      <c r="T67" s="189"/>
      <c r="U67" s="189"/>
      <c r="AF67" s="213"/>
      <c r="AG67" s="214"/>
      <c r="AH67" s="213"/>
      <c r="AI67" s="213"/>
      <c r="AJ67" s="213"/>
      <c r="AK67" s="213"/>
      <c r="AL67" s="213"/>
      <c r="AM67" s="213"/>
      <c r="AN67" s="213"/>
      <c r="AO67" s="213"/>
    </row>
    <row r="68" spans="2:42" ht="15.75" x14ac:dyDescent="0.25">
      <c r="B68" s="208"/>
      <c r="C68" s="208"/>
      <c r="D68" s="208"/>
      <c r="E68" s="208"/>
      <c r="F68" s="208"/>
      <c r="G68" s="208"/>
      <c r="H68" s="208"/>
      <c r="I68" s="208"/>
      <c r="J68" s="208"/>
      <c r="K68" s="208"/>
      <c r="L68" s="208"/>
      <c r="M68" s="125"/>
      <c r="N68" s="125"/>
      <c r="O68" s="125"/>
      <c r="P68" s="125"/>
      <c r="Q68" s="125"/>
      <c r="R68" s="188"/>
      <c r="S68" s="189"/>
      <c r="T68" s="189"/>
      <c r="U68" s="189"/>
      <c r="AF68" s="215"/>
      <c r="AG68" s="128"/>
      <c r="AH68" s="215"/>
      <c r="AI68" s="215"/>
      <c r="AJ68" s="215"/>
      <c r="AK68" s="215"/>
      <c r="AL68" s="128"/>
      <c r="AM68" s="213"/>
      <c r="AN68" s="213"/>
      <c r="AO68" s="213"/>
    </row>
    <row r="69" spans="2:42" ht="15.75" x14ac:dyDescent="0.25">
      <c r="B69" s="208"/>
      <c r="C69" s="208"/>
      <c r="D69" s="208"/>
      <c r="E69" s="208"/>
      <c r="F69" s="208"/>
      <c r="G69" s="208"/>
      <c r="H69" s="208"/>
      <c r="I69" s="208"/>
      <c r="J69" s="208"/>
      <c r="K69" s="208"/>
      <c r="L69" s="208"/>
      <c r="M69" s="125"/>
      <c r="N69" s="125"/>
      <c r="O69" s="125"/>
      <c r="P69" s="125"/>
      <c r="Q69" s="125"/>
      <c r="R69" s="188"/>
      <c r="S69" s="189"/>
      <c r="T69" s="189"/>
      <c r="U69" s="189"/>
      <c r="AF69" s="215"/>
      <c r="AG69" s="128"/>
      <c r="AH69" s="215"/>
      <c r="AI69" s="215"/>
      <c r="AJ69" s="215"/>
      <c r="AK69" s="215"/>
      <c r="AL69" s="128"/>
      <c r="AM69" s="213"/>
      <c r="AN69" s="213"/>
      <c r="AO69" s="213"/>
    </row>
    <row r="70" spans="2:42" ht="15.75" x14ac:dyDescent="0.25">
      <c r="B70" s="159"/>
      <c r="C70" s="208"/>
      <c r="D70" s="208"/>
      <c r="E70" s="208"/>
      <c r="F70" s="208"/>
      <c r="G70" s="208"/>
      <c r="H70" s="208"/>
      <c r="I70" s="208"/>
      <c r="J70" s="208"/>
      <c r="K70" s="208"/>
      <c r="L70" s="208"/>
      <c r="M70" s="125"/>
      <c r="N70" s="125"/>
      <c r="O70" s="125"/>
      <c r="P70" s="125"/>
      <c r="Q70" s="125"/>
      <c r="R70" s="188"/>
      <c r="S70" s="189"/>
      <c r="T70" s="189"/>
      <c r="U70" s="189"/>
      <c r="AF70" s="159"/>
      <c r="AG70" s="216"/>
      <c r="AH70" s="159"/>
      <c r="AI70" s="159"/>
      <c r="AJ70" s="159"/>
      <c r="AK70" s="159"/>
      <c r="AL70" s="216"/>
      <c r="AM70" s="213"/>
      <c r="AN70" s="213"/>
      <c r="AO70" s="213"/>
    </row>
    <row r="71" spans="2:42" ht="15.75" x14ac:dyDescent="0.25">
      <c r="B71" s="208"/>
      <c r="C71" s="208"/>
      <c r="D71" s="208"/>
      <c r="E71" s="208"/>
      <c r="F71" s="208"/>
      <c r="G71" s="208"/>
      <c r="H71" s="208"/>
      <c r="I71" s="208"/>
      <c r="J71" s="208"/>
      <c r="K71" s="208"/>
      <c r="L71" s="208"/>
      <c r="M71" s="125"/>
      <c r="N71" s="125"/>
      <c r="O71" s="125"/>
      <c r="P71" s="125"/>
      <c r="Q71" s="125"/>
      <c r="R71" s="188"/>
      <c r="S71" s="189"/>
      <c r="T71" s="189"/>
      <c r="U71" s="189"/>
      <c r="AF71" s="208"/>
      <c r="AG71" s="128"/>
      <c r="AH71" s="208"/>
      <c r="AI71" s="208"/>
      <c r="AJ71" s="208"/>
      <c r="AK71" s="208"/>
      <c r="AL71" s="128"/>
      <c r="AM71" s="213"/>
      <c r="AN71" s="213"/>
      <c r="AO71" s="213"/>
    </row>
    <row r="72" spans="2:42" ht="15.75" x14ac:dyDescent="0.25">
      <c r="B72" s="208"/>
      <c r="C72" s="208"/>
      <c r="D72" s="208"/>
      <c r="E72" s="208"/>
      <c r="F72" s="208"/>
      <c r="G72" s="208"/>
      <c r="H72" s="208"/>
      <c r="I72" s="208"/>
      <c r="J72" s="208"/>
      <c r="K72" s="208"/>
      <c r="L72" s="208"/>
      <c r="M72" s="125"/>
      <c r="N72" s="125"/>
      <c r="O72" s="125"/>
      <c r="P72" s="125"/>
      <c r="Q72" s="125"/>
      <c r="R72" s="188"/>
      <c r="S72" s="189"/>
      <c r="T72" s="189"/>
      <c r="U72" s="189"/>
      <c r="AF72" s="208"/>
      <c r="AG72" s="128"/>
      <c r="AH72" s="208"/>
      <c r="AI72" s="208"/>
      <c r="AJ72" s="208"/>
      <c r="AK72" s="208"/>
      <c r="AL72" s="128"/>
      <c r="AM72" s="213"/>
      <c r="AN72" s="213"/>
      <c r="AO72" s="213"/>
    </row>
    <row r="73" spans="2:42" ht="15.75" x14ac:dyDescent="0.25">
      <c r="B73" s="159"/>
      <c r="C73" s="208"/>
      <c r="D73" s="208"/>
      <c r="E73" s="208"/>
      <c r="F73" s="208"/>
      <c r="G73" s="208"/>
      <c r="H73" s="208"/>
      <c r="I73" s="208"/>
      <c r="J73" s="208"/>
      <c r="K73" s="208"/>
      <c r="L73" s="208"/>
      <c r="M73" s="125"/>
      <c r="N73" s="125"/>
      <c r="O73" s="125"/>
      <c r="P73" s="125"/>
      <c r="Q73" s="125"/>
      <c r="R73" s="188"/>
      <c r="S73" s="189"/>
      <c r="T73" s="189"/>
      <c r="U73" s="189"/>
      <c r="AF73" s="208"/>
      <c r="AG73" s="128"/>
      <c r="AH73" s="208"/>
      <c r="AI73" s="208"/>
      <c r="AJ73" s="208"/>
      <c r="AK73" s="208"/>
      <c r="AL73" s="128"/>
      <c r="AM73" s="213"/>
      <c r="AN73" s="213"/>
      <c r="AO73" s="213"/>
    </row>
    <row r="74" spans="2:42" ht="15.75" x14ac:dyDescent="0.25">
      <c r="B74" s="208"/>
      <c r="C74" s="208"/>
      <c r="D74" s="208"/>
      <c r="E74" s="208"/>
      <c r="F74" s="208"/>
      <c r="G74" s="208"/>
      <c r="H74" s="208"/>
      <c r="I74" s="208"/>
      <c r="J74" s="208"/>
      <c r="K74" s="208"/>
      <c r="L74" s="208"/>
      <c r="M74" s="125"/>
      <c r="N74" s="125"/>
      <c r="O74" s="125"/>
      <c r="P74" s="125"/>
      <c r="Q74" s="125"/>
      <c r="R74" s="188"/>
      <c r="S74" s="189"/>
      <c r="T74" s="189"/>
      <c r="U74" s="189"/>
      <c r="AF74" s="213"/>
      <c r="AG74" s="213"/>
      <c r="AH74" s="213"/>
      <c r="AI74" s="213"/>
      <c r="AJ74" s="213"/>
      <c r="AK74" s="213"/>
      <c r="AL74" s="213"/>
      <c r="AM74" s="213"/>
      <c r="AN74" s="213"/>
      <c r="AO74" s="213"/>
      <c r="AP74" s="214"/>
    </row>
    <row r="75" spans="2:42" ht="15.75" x14ac:dyDescent="0.25">
      <c r="B75" s="208"/>
      <c r="C75" s="208"/>
      <c r="D75" s="208"/>
      <c r="E75" s="208"/>
      <c r="F75" s="208"/>
      <c r="G75" s="208"/>
      <c r="H75" s="208"/>
      <c r="I75" s="208"/>
      <c r="J75" s="208"/>
      <c r="K75" s="208"/>
      <c r="L75" s="208"/>
      <c r="M75" s="125"/>
      <c r="N75" s="125"/>
      <c r="O75" s="125"/>
      <c r="P75" s="125"/>
      <c r="Q75" s="125"/>
      <c r="R75" s="188"/>
      <c r="S75" s="189"/>
      <c r="T75" s="189"/>
      <c r="U75" s="189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4"/>
    </row>
    <row r="76" spans="2:42" ht="15.75" x14ac:dyDescent="0.25">
      <c r="B76" s="208"/>
      <c r="C76" s="208"/>
      <c r="D76" s="208"/>
      <c r="E76" s="208"/>
      <c r="F76" s="208"/>
      <c r="G76" s="208"/>
      <c r="H76" s="208"/>
      <c r="I76" s="208"/>
      <c r="J76" s="208"/>
      <c r="K76" s="208"/>
      <c r="L76" s="208"/>
      <c r="M76" s="125"/>
      <c r="N76" s="125"/>
      <c r="O76" s="125"/>
      <c r="P76" s="125"/>
      <c r="Q76" s="125"/>
      <c r="R76" s="188"/>
      <c r="S76" s="189"/>
      <c r="T76" s="189"/>
      <c r="U76" s="189"/>
      <c r="AF76" s="213"/>
      <c r="AG76" s="213"/>
      <c r="AH76" s="213"/>
      <c r="AI76" s="213"/>
      <c r="AJ76" s="213"/>
      <c r="AK76" s="213"/>
      <c r="AL76" s="213"/>
      <c r="AM76" s="213"/>
      <c r="AN76" s="213"/>
      <c r="AO76" s="213"/>
      <c r="AP76" s="214"/>
    </row>
    <row r="77" spans="2:42" ht="15.75" x14ac:dyDescent="0.25">
      <c r="B77" s="208"/>
      <c r="C77" s="208"/>
      <c r="D77" s="208"/>
      <c r="E77" s="208"/>
      <c r="F77" s="208"/>
      <c r="G77" s="208"/>
      <c r="H77" s="208"/>
      <c r="I77" s="208"/>
      <c r="J77" s="208"/>
      <c r="K77" s="208"/>
      <c r="L77" s="208"/>
      <c r="M77" s="125"/>
      <c r="N77" s="125"/>
      <c r="O77" s="125"/>
      <c r="P77" s="125"/>
      <c r="Q77" s="125"/>
      <c r="R77" s="188"/>
      <c r="S77" s="189"/>
      <c r="T77" s="189"/>
      <c r="U77" s="189"/>
      <c r="AF77" s="213"/>
      <c r="AG77" s="213"/>
      <c r="AH77" s="213"/>
      <c r="AI77" s="213"/>
      <c r="AJ77" s="213"/>
      <c r="AK77" s="213"/>
      <c r="AL77" s="213"/>
      <c r="AM77" s="213"/>
      <c r="AN77" s="213"/>
      <c r="AO77" s="213"/>
      <c r="AP77" s="214"/>
    </row>
    <row r="78" spans="2:42" ht="15.75" x14ac:dyDescent="0.25">
      <c r="B78" s="208"/>
      <c r="C78" s="208"/>
      <c r="D78" s="208"/>
      <c r="E78" s="208"/>
      <c r="F78" s="208"/>
      <c r="G78" s="208"/>
      <c r="H78" s="208"/>
      <c r="I78" s="208"/>
      <c r="J78" s="208"/>
      <c r="K78" s="208"/>
      <c r="L78" s="208"/>
      <c r="M78" s="125"/>
      <c r="N78" s="125"/>
      <c r="O78" s="125"/>
      <c r="P78" s="125"/>
      <c r="Q78" s="125"/>
      <c r="R78" s="188"/>
      <c r="S78" s="189"/>
      <c r="T78" s="189"/>
      <c r="U78" s="189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214"/>
    </row>
    <row r="79" spans="2:42" ht="15.75" x14ac:dyDescent="0.25">
      <c r="B79" s="159"/>
      <c r="C79" s="208"/>
      <c r="D79" s="208"/>
      <c r="E79" s="208"/>
      <c r="F79" s="208"/>
      <c r="G79" s="208"/>
      <c r="H79" s="208"/>
      <c r="I79" s="208"/>
      <c r="J79" s="208"/>
      <c r="K79" s="208"/>
      <c r="L79" s="208"/>
      <c r="M79" s="125"/>
      <c r="N79" s="125"/>
      <c r="O79" s="125"/>
      <c r="P79" s="125"/>
      <c r="Q79" s="125"/>
      <c r="R79" s="188"/>
      <c r="S79" s="189"/>
      <c r="T79" s="189"/>
      <c r="U79" s="189"/>
      <c r="AF79" s="213"/>
      <c r="AG79" s="213"/>
      <c r="AH79" s="213"/>
      <c r="AI79" s="213"/>
      <c r="AJ79" s="213"/>
      <c r="AK79" s="213"/>
      <c r="AL79" s="213"/>
      <c r="AM79" s="213"/>
      <c r="AN79" s="213"/>
      <c r="AO79" s="213"/>
      <c r="AP79" s="214"/>
    </row>
    <row r="80" spans="2:42" ht="15.75" x14ac:dyDescent="0.25">
      <c r="B80" s="159"/>
      <c r="C80" s="208"/>
      <c r="D80" s="208"/>
      <c r="E80" s="208"/>
      <c r="F80" s="208"/>
      <c r="G80" s="208"/>
      <c r="H80" s="208"/>
      <c r="I80" s="208"/>
      <c r="J80" s="208"/>
      <c r="K80" s="208"/>
      <c r="L80" s="208"/>
      <c r="M80" s="125"/>
      <c r="N80" s="125"/>
      <c r="O80" s="125"/>
      <c r="P80" s="125"/>
      <c r="Q80" s="125"/>
      <c r="R80" s="188"/>
      <c r="S80" s="189"/>
      <c r="T80" s="189"/>
      <c r="U80" s="189"/>
      <c r="AF80" s="213"/>
      <c r="AG80" s="213"/>
      <c r="AH80" s="213"/>
      <c r="AI80" s="213"/>
      <c r="AJ80" s="213"/>
      <c r="AK80" s="213"/>
      <c r="AL80" s="213"/>
      <c r="AM80" s="213"/>
      <c r="AN80" s="213"/>
      <c r="AO80" s="213"/>
      <c r="AP80" s="214"/>
    </row>
    <row r="81" spans="2:42" ht="15.75" x14ac:dyDescent="0.25">
      <c r="B81" s="208"/>
      <c r="C81" s="208"/>
      <c r="D81" s="208"/>
      <c r="E81" s="208"/>
      <c r="F81" s="208"/>
      <c r="G81" s="208"/>
      <c r="H81" s="208"/>
      <c r="I81" s="208"/>
      <c r="J81" s="208"/>
      <c r="K81" s="208"/>
      <c r="L81" s="208"/>
      <c r="M81" s="125"/>
      <c r="N81" s="125"/>
      <c r="O81" s="125"/>
      <c r="P81" s="125"/>
      <c r="Q81" s="125"/>
      <c r="R81" s="188"/>
      <c r="S81" s="189"/>
      <c r="T81" s="189"/>
      <c r="U81" s="189"/>
      <c r="AF81" s="213"/>
      <c r="AG81" s="213"/>
      <c r="AH81" s="213"/>
      <c r="AI81" s="213"/>
      <c r="AJ81" s="213"/>
      <c r="AK81" s="213"/>
      <c r="AL81" s="213"/>
      <c r="AM81" s="213"/>
      <c r="AN81" s="213"/>
      <c r="AO81" s="213"/>
      <c r="AP81" s="214"/>
    </row>
    <row r="82" spans="2:42" ht="15.75" x14ac:dyDescent="0.25">
      <c r="B82" s="208"/>
      <c r="C82" s="208"/>
      <c r="D82" s="208"/>
      <c r="E82" s="208"/>
      <c r="F82" s="208"/>
      <c r="G82" s="208"/>
      <c r="H82" s="208"/>
      <c r="I82" s="208"/>
      <c r="J82" s="208"/>
      <c r="K82" s="208"/>
      <c r="L82" s="208"/>
      <c r="M82" s="125"/>
      <c r="N82" s="125"/>
      <c r="O82" s="125"/>
      <c r="P82" s="125"/>
      <c r="Q82" s="125"/>
      <c r="R82" s="188"/>
      <c r="S82" s="189"/>
      <c r="T82" s="189"/>
      <c r="U82" s="189"/>
      <c r="AF82" s="213"/>
      <c r="AG82" s="213"/>
      <c r="AH82" s="213"/>
      <c r="AI82" s="213"/>
      <c r="AJ82" s="213"/>
      <c r="AK82" s="213"/>
      <c r="AL82" s="213"/>
      <c r="AM82" s="213"/>
      <c r="AN82" s="213"/>
      <c r="AO82" s="213"/>
      <c r="AP82" s="214"/>
    </row>
    <row r="83" spans="2:42" ht="15.75" x14ac:dyDescent="0.25">
      <c r="B83" s="208"/>
      <c r="C83" s="208"/>
      <c r="D83" s="208"/>
      <c r="E83" s="208"/>
      <c r="F83" s="208"/>
      <c r="G83" s="208"/>
      <c r="H83" s="208"/>
      <c r="I83" s="208"/>
      <c r="J83" s="208"/>
      <c r="K83" s="208"/>
      <c r="L83" s="208"/>
      <c r="M83" s="125"/>
      <c r="N83" s="125"/>
      <c r="O83" s="125"/>
      <c r="P83" s="125"/>
      <c r="Q83" s="125"/>
      <c r="R83" s="188"/>
      <c r="S83" s="189"/>
      <c r="T83" s="189"/>
      <c r="U83" s="189"/>
      <c r="AF83" s="213"/>
      <c r="AG83" s="213"/>
      <c r="AH83" s="213"/>
      <c r="AI83" s="213"/>
      <c r="AJ83" s="213"/>
      <c r="AK83" s="213"/>
      <c r="AL83" s="213"/>
      <c r="AM83" s="213"/>
      <c r="AN83" s="213"/>
      <c r="AO83" s="213"/>
      <c r="AP83" s="214"/>
    </row>
    <row r="84" spans="2:42" ht="63" x14ac:dyDescent="0.25">
      <c r="B84" s="208"/>
      <c r="C84" s="208"/>
      <c r="D84" s="208"/>
      <c r="E84" s="208"/>
      <c r="F84" s="208"/>
      <c r="G84" s="208"/>
      <c r="H84" s="208"/>
      <c r="I84" s="208"/>
      <c r="J84" s="188"/>
      <c r="K84" s="217" t="s">
        <v>226</v>
      </c>
      <c r="L84" s="217"/>
      <c r="M84" s="217" t="s">
        <v>7</v>
      </c>
      <c r="N84" s="218" t="s">
        <v>331</v>
      </c>
      <c r="O84" s="217" t="s">
        <v>8</v>
      </c>
      <c r="P84" s="188"/>
      <c r="Q84" s="125"/>
      <c r="R84" s="188"/>
      <c r="S84" s="189"/>
      <c r="T84" s="189"/>
      <c r="U84" s="189"/>
      <c r="AF84" s="213"/>
      <c r="AG84" s="213"/>
      <c r="AH84" s="213"/>
      <c r="AI84" s="213"/>
      <c r="AJ84" s="213"/>
      <c r="AK84" s="213"/>
      <c r="AL84" s="213"/>
      <c r="AM84" s="213"/>
      <c r="AN84" s="213"/>
      <c r="AO84" s="213"/>
      <c r="AP84" s="214"/>
    </row>
    <row r="85" spans="2:42" ht="15.75" x14ac:dyDescent="0.25">
      <c r="B85" s="159"/>
      <c r="C85" s="159" t="s">
        <v>212</v>
      </c>
      <c r="D85" s="208"/>
      <c r="E85" s="208"/>
      <c r="F85" s="208"/>
      <c r="G85" s="208"/>
      <c r="H85" s="208"/>
      <c r="I85" s="208"/>
      <c r="J85" s="208" t="s">
        <v>332</v>
      </c>
      <c r="K85" s="219">
        <f>SUMIFS($AG$3:$AG$47,$T$3:$T$47,"",$V$3:$V$47,"Матове",$F$3:$F$47,16)+SUMIFS($AG$3:$AG$47,$T$3:$T$47,"",$V$3:$V$47,"Матове",$F$3:$F$47,10)+SUMIFS($AG$3:$AG$47,$T$3:$T$47,"",$V$3:$V$47,"Матове",$F$3:$F$47,4)+SUMIFS($AG$3:$AG$47,$T$3:$T$47,"",$V$3:$V$47,"Матове",$F$3:$F$47,6)+SUMIFS($AG$3:$AG$47,$T$3:$T$47,"",$V$3:$V$47,"Матове",$F$3:$F$47,8)</f>
        <v>0</v>
      </c>
      <c r="L85" s="220"/>
      <c r="M85" s="220">
        <f>Прайс!$F$10</f>
        <v>2550</v>
      </c>
      <c r="N85" s="221">
        <f t="shared" ref="N85:N172" si="2">K85*M85</f>
        <v>0</v>
      </c>
      <c r="O85" s="220">
        <f>SUMIFS($X$3:$X$47,$T$3:$T$47,"",$V$3:$V$47,"Матове",$F$3:$F$47,16)+SUMIFS($X$3:$X$47,$T$3:$T$47,"",$V$3:$V$47,"Матове",$F$3:$F$47,4)+SUMIFS($X$3:$X$47,$T$3:$T$47,"",$V$3:$V$47,"Матове",$F$3:$F$47,6)+SUMIFS($X$3:$X$47,$T$3:$T$47,"",$V$3:$V$47,"Матове",$F$3:$F$47,8)+SUMIFS($X$3:$X$47,$T$3:$T$47,"",$V$3:$V$47,"Матове",$F$3:$F$47,10)</f>
        <v>0</v>
      </c>
      <c r="P85" s="189"/>
      <c r="Q85" s="125"/>
      <c r="R85" s="188"/>
      <c r="S85" s="189"/>
      <c r="T85" s="189"/>
      <c r="U85" s="189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4"/>
    </row>
    <row r="86" spans="2:42" ht="15.75" x14ac:dyDescent="0.25">
      <c r="B86" s="159"/>
      <c r="C86" s="208" t="s">
        <v>213</v>
      </c>
      <c r="D86" s="208"/>
      <c r="E86" s="208"/>
      <c r="F86" s="208"/>
      <c r="G86" s="208"/>
      <c r="H86" s="208"/>
      <c r="I86" s="208"/>
      <c r="J86" s="208" t="s">
        <v>332</v>
      </c>
      <c r="K86" s="219">
        <f>SUMIFS($AG$3:$AG$47,$T$3:$T$47,"",$V$3:$V$47,"Матове",$F$3:$F$47,19)</f>
        <v>0</v>
      </c>
      <c r="L86" s="220"/>
      <c r="M86" s="220">
        <f>Прайс!$G$10</f>
        <v>2620</v>
      </c>
      <c r="N86" s="221">
        <f t="shared" si="2"/>
        <v>0</v>
      </c>
      <c r="O86" s="220">
        <f>SUMIFS($Y$3:$Y$47,$T$3:$T$47,"",$V$3:$V$47,"Матове",$F$3:$F$47,19)</f>
        <v>0</v>
      </c>
      <c r="P86" s="189"/>
      <c r="Q86" s="125"/>
      <c r="R86" s="188"/>
      <c r="S86" s="189"/>
      <c r="T86" s="189"/>
      <c r="U86" s="189"/>
      <c r="AF86" s="213"/>
      <c r="AG86" s="213"/>
      <c r="AH86" s="213"/>
      <c r="AI86" s="213"/>
      <c r="AJ86" s="213"/>
      <c r="AK86" s="213"/>
      <c r="AL86" s="213"/>
      <c r="AM86" s="213"/>
      <c r="AN86" s="213"/>
      <c r="AO86" s="213"/>
      <c r="AP86" s="214"/>
    </row>
    <row r="87" spans="2:42" ht="15.75" x14ac:dyDescent="0.25">
      <c r="B87" s="159"/>
      <c r="C87" s="208" t="s">
        <v>417</v>
      </c>
      <c r="D87" s="208"/>
      <c r="E87" s="208"/>
      <c r="F87" s="208"/>
      <c r="G87" s="208"/>
      <c r="H87" s="208"/>
      <c r="I87" s="208"/>
      <c r="J87" s="208" t="s">
        <v>332</v>
      </c>
      <c r="K87" s="219">
        <f>SUMIFS($AG$3:$AG$47,$T$3:$T$47,"",$V$3:$V$47,"Матове",$F$3:$F$47,22)</f>
        <v>2.4</v>
      </c>
      <c r="L87" s="220"/>
      <c r="M87" s="220">
        <f>Прайс!$G$10+700</f>
        <v>3320</v>
      </c>
      <c r="N87" s="221">
        <f t="shared" si="2"/>
        <v>7968</v>
      </c>
      <c r="O87" s="220"/>
      <c r="P87" s="189"/>
      <c r="Q87" s="125"/>
      <c r="R87" s="188"/>
      <c r="S87" s="189"/>
      <c r="T87" s="189"/>
      <c r="U87" s="189"/>
      <c r="AF87" s="213"/>
      <c r="AG87" s="213"/>
      <c r="AH87" s="213"/>
      <c r="AI87" s="213"/>
      <c r="AJ87" s="213"/>
      <c r="AK87" s="213"/>
      <c r="AL87" s="213"/>
      <c r="AM87" s="213"/>
      <c r="AN87" s="213"/>
      <c r="AO87" s="213"/>
      <c r="AP87" s="214"/>
    </row>
    <row r="88" spans="2:42" ht="15.75" x14ac:dyDescent="0.25">
      <c r="B88" s="208"/>
      <c r="C88" s="208" t="s">
        <v>333</v>
      </c>
      <c r="D88" s="208"/>
      <c r="E88" s="208"/>
      <c r="F88" s="208"/>
      <c r="G88" s="208"/>
      <c r="H88" s="208"/>
      <c r="I88" s="208"/>
      <c r="J88" s="208" t="s">
        <v>332</v>
      </c>
      <c r="K88" s="219">
        <f>SUMIFS($AG$3:$AG$47,$W$3:$W$47,"Матове",$F$3:$F$47,19)+SUMIFS($AG$3:$AG$47,$W$3:$W$47,"Матове",$F$3:$F$47,16)+SUMIFS($AG$3:$AG$47,$W$3:$W$47,"Матове",$F$3:$F$47,10)+SUMIFS($AG$3:$AG$47,$W$3:$W$47,"Матове",$F$3:$F$47,8)+SUMIFS($AG$3:$AG$47,$W$3:$W$47,"Матове",$F$3:$F$47,6)+SUMIFS($AG$3:$AG$47,$W$3:$W$47,"Матове",$F$3:$F$47,4)</f>
        <v>0</v>
      </c>
      <c r="L88" s="220"/>
      <c r="M88" s="220">
        <f>Прайс!$F$10-500</f>
        <v>2050</v>
      </c>
      <c r="N88" s="221">
        <f t="shared" si="2"/>
        <v>0</v>
      </c>
      <c r="O88" s="220">
        <f>SUMIFS($Z$3:$Z$47,$W$3:$W$47,"Матове")</f>
        <v>0</v>
      </c>
      <c r="P88" s="189"/>
      <c r="Q88" s="125"/>
      <c r="R88" s="188"/>
      <c r="S88" s="189"/>
      <c r="T88" s="189"/>
      <c r="U88" s="189"/>
      <c r="AF88" s="213"/>
      <c r="AG88" s="213"/>
      <c r="AH88" s="213"/>
      <c r="AI88" s="213"/>
      <c r="AJ88" s="213"/>
      <c r="AK88" s="213"/>
      <c r="AL88" s="213"/>
      <c r="AM88" s="213"/>
      <c r="AN88" s="213"/>
      <c r="AO88" s="213"/>
      <c r="AP88" s="214"/>
    </row>
    <row r="89" spans="2:42" ht="15.75" x14ac:dyDescent="0.25">
      <c r="B89" s="208"/>
      <c r="C89" s="159" t="s">
        <v>214</v>
      </c>
      <c r="D89" s="208"/>
      <c r="E89" s="208"/>
      <c r="F89" s="208"/>
      <c r="G89" s="208"/>
      <c r="H89" s="208"/>
      <c r="I89" s="208"/>
      <c r="J89" s="208" t="s">
        <v>332</v>
      </c>
      <c r="K89" s="219">
        <f>SUMIFS($AG$3:$AG$47,$T$3:$T$47,"",$V$3:$V$47,"Софт(TS)",$F$3:$F$47,16)+SUMIFS($AG$3:$AG$47,$T$3:$T$47,"",$V$3:$V$47,"Софт(TS)",$F$3:$F$47,10)+SUMIFS($AG$3:$AG$47,$T$3:$T$47,"",$V$3:$V$47,"Софт(TS)",$F$3:$F$47,4)+SUMIFS($AG$3:$AG$47,$T$3:$T$47,"",$V$3:$V$47,"Софт(TS)",$F$3:$F$47,6)+SUMIFS($AG$3:$AG$47,$T$3:$T$47,"",$V$3:$V$47,"Софт(TS)",$F$3:$F$47,8)</f>
        <v>0</v>
      </c>
      <c r="L89" s="220"/>
      <c r="M89" s="220">
        <f>Прайс!$F$11</f>
        <v>2550</v>
      </c>
      <c r="N89" s="221">
        <f t="shared" si="2"/>
        <v>0</v>
      </c>
      <c r="O89" s="220">
        <f>SUMIFS($X$3:$X$47,$T$3:$T$47,"",$V$3:$V$47,"Софт(TS)",$F$3:$F$47,16)+SUMIFS($X$3:$X$47,$T$3:$T$47,"",$V$3:$V$47,"Софт(TS)",$F$3:$F$47,4)+SUMIFS($X$3:$X$47,$T$3:$T$47,"",$V$3:$V$47,"Софт(TS)",$F$3:$F$47,6)+SUMIFS($X$3:$X$47,$T$3:$T$47,"",$V$3:$V$47,"Софт(TS)",$F$3:$F$47,8)+SUMIFS($X$3:$X$47,$T$3:$T$47,"",$V$3:$V$47,"Софт(TS)",$F$3:$F$47,10)</f>
        <v>0</v>
      </c>
      <c r="P89" s="189"/>
      <c r="Q89" s="125"/>
      <c r="R89" s="188"/>
      <c r="S89" s="189"/>
      <c r="T89" s="189"/>
      <c r="U89" s="189"/>
      <c r="AF89" s="213"/>
      <c r="AG89" s="213"/>
      <c r="AH89" s="213"/>
      <c r="AI89" s="213"/>
      <c r="AJ89" s="213"/>
      <c r="AK89" s="213"/>
      <c r="AL89" s="213"/>
      <c r="AM89" s="213"/>
      <c r="AN89" s="213"/>
      <c r="AO89" s="213"/>
      <c r="AP89" s="214"/>
    </row>
    <row r="90" spans="2:42" ht="15.75" x14ac:dyDescent="0.25">
      <c r="B90" s="208"/>
      <c r="C90" s="208" t="s">
        <v>215</v>
      </c>
      <c r="D90" s="208"/>
      <c r="E90" s="208"/>
      <c r="F90" s="208"/>
      <c r="G90" s="208"/>
      <c r="H90" s="208"/>
      <c r="I90" s="208"/>
      <c r="J90" s="208" t="s">
        <v>332</v>
      </c>
      <c r="K90" s="219">
        <f>SUMIFS($AG$3:$AG$47,$T$3:$T$47,"",$V$3:$V$47,"Софт(TS)",$F$3:$F$47,19)</f>
        <v>0</v>
      </c>
      <c r="L90" s="220"/>
      <c r="M90" s="220">
        <f>Прайс!$G$11</f>
        <v>2620</v>
      </c>
      <c r="N90" s="221">
        <f>K90*M90</f>
        <v>0</v>
      </c>
      <c r="O90" s="220">
        <f>SUMIFS($Y$3:$Y$47,$T$3:$T$47,"",$V$3:$V$47,"Софт(TS)",$F$4:$F$48,19)</f>
        <v>0</v>
      </c>
      <c r="P90" s="189"/>
      <c r="Q90" s="125"/>
      <c r="R90" s="188"/>
      <c r="S90" s="189"/>
      <c r="T90" s="189"/>
      <c r="U90" s="189"/>
      <c r="AF90" s="213"/>
      <c r="AG90" s="213"/>
      <c r="AH90" s="213"/>
      <c r="AI90" s="213"/>
      <c r="AJ90" s="213"/>
      <c r="AK90" s="213"/>
      <c r="AL90" s="213"/>
      <c r="AM90" s="213"/>
      <c r="AN90" s="213"/>
      <c r="AO90" s="213"/>
      <c r="AP90" s="214"/>
    </row>
    <row r="91" spans="2:42" ht="15.75" x14ac:dyDescent="0.25">
      <c r="B91" s="208"/>
      <c r="C91" s="208" t="s">
        <v>418</v>
      </c>
      <c r="D91" s="208"/>
      <c r="E91" s="208"/>
      <c r="F91" s="208"/>
      <c r="G91" s="208"/>
      <c r="H91" s="208"/>
      <c r="I91" s="208"/>
      <c r="J91" s="208" t="s">
        <v>332</v>
      </c>
      <c r="K91" s="219">
        <f>SUMIFS($AG$3:$AG$47,$T$3:$T$47,"",$V$3:$V$47,"Софт(TS)",$F$3:$F$47,22)</f>
        <v>0</v>
      </c>
      <c r="L91" s="220"/>
      <c r="M91" s="220">
        <f>Прайс!$G$11+700</f>
        <v>3320</v>
      </c>
      <c r="N91" s="221">
        <f>K91*M91</f>
        <v>0</v>
      </c>
      <c r="O91" s="220"/>
      <c r="P91" s="189"/>
      <c r="Q91" s="125"/>
      <c r="R91" s="188"/>
      <c r="S91" s="189"/>
      <c r="T91" s="189"/>
      <c r="U91" s="189"/>
      <c r="AF91" s="213"/>
      <c r="AG91" s="213"/>
      <c r="AH91" s="213"/>
      <c r="AI91" s="213"/>
      <c r="AJ91" s="213"/>
      <c r="AK91" s="213"/>
      <c r="AL91" s="213"/>
      <c r="AM91" s="213"/>
      <c r="AN91" s="213"/>
      <c r="AO91" s="213"/>
      <c r="AP91" s="214"/>
    </row>
    <row r="92" spans="2:42" ht="15.75" x14ac:dyDescent="0.25">
      <c r="B92" s="208"/>
      <c r="C92" s="208" t="s">
        <v>334</v>
      </c>
      <c r="D92" s="208"/>
      <c r="E92" s="208"/>
      <c r="F92" s="208"/>
      <c r="G92" s="208"/>
      <c r="H92" s="208"/>
      <c r="I92" s="208"/>
      <c r="J92" s="208" t="s">
        <v>332</v>
      </c>
      <c r="K92" s="219">
        <f>SUMIFS($AG$3:$AG$47,$W$3:$W$47,"Софт(TS)",$F$3:$F$47,19)+SUMIFS($AG$3:$AG$47,$W$3:$W$47,"Софт(TS)",$F$3:$F$47,16)+SUMIFS($AG$3:$AG$47,$W$3:$W$47,"Софт(TS)",$F$3:$F$47,10)+SUMIFS($AG$3:$AG$47,$W$3:$W$47,"Софт(TS)",$F$3:$F$47,8)+SUMIFS($AG$3:$AG$47,$W$3:$W$47,"Софт(TS)",$F$3:$F$47,6)+SUMIFS($AG$3:$AG$47,$W$3:$W$47,"Софт(TS)",$F$3:$F$47,4)</f>
        <v>0</v>
      </c>
      <c r="L92" s="220"/>
      <c r="M92" s="220">
        <f>Прайс!$F$11-500</f>
        <v>2050</v>
      </c>
      <c r="N92" s="221">
        <f t="shared" si="2"/>
        <v>0</v>
      </c>
      <c r="O92" s="220">
        <f>SUMIFS($Z$3:$Z$47,$W$3:$W$47,"Софт(TS)")</f>
        <v>0</v>
      </c>
      <c r="P92" s="189"/>
      <c r="Q92" s="125"/>
      <c r="R92" s="188"/>
      <c r="S92" s="189"/>
      <c r="T92" s="189"/>
      <c r="U92" s="189"/>
      <c r="AF92" s="213"/>
      <c r="AG92" s="213"/>
      <c r="AH92" s="213"/>
      <c r="AI92" s="213"/>
      <c r="AJ92" s="213"/>
      <c r="AK92" s="213"/>
      <c r="AL92" s="213"/>
      <c r="AM92" s="213"/>
      <c r="AN92" s="213"/>
      <c r="AO92" s="213"/>
      <c r="AP92" s="214"/>
    </row>
    <row r="93" spans="2:42" s="258" customFormat="1" ht="15.75" x14ac:dyDescent="0.25">
      <c r="B93" s="252"/>
      <c r="C93" s="252" t="s">
        <v>216</v>
      </c>
      <c r="D93" s="251"/>
      <c r="E93" s="251"/>
      <c r="F93" s="251"/>
      <c r="G93" s="251"/>
      <c r="H93" s="251"/>
      <c r="I93" s="251"/>
      <c r="J93" s="251" t="s">
        <v>332</v>
      </c>
      <c r="K93" s="253">
        <f>SUMIFS($AG$3:$AG$47,$T$3:$T$47,"",$V$3:$V$47,"Глянець",$F$3:$F$47,16)+SUMIFS($AG$3:$AG$47,$T$3:$T$47,"",$V$3:$V$47,"Глянець",$F$3:$F$47,10)+SUMIFS($AG$3:$AG$47,$T$3:$T$47,"",$V$3:$V$47,"Глянець",$F$3:$F$47,4)+SUMIFS($AG$3:$AG$47,$T$3:$T$47,"",$V$3:$V$47,"Глянець",$F$3:$F$47,6)+SUMIFS($AG$3:$AG$47,$T$3:$T$47,"",$V$3:$V$47,"Глянець",$F$3:$F$47,8)</f>
        <v>0</v>
      </c>
      <c r="L93" s="254"/>
      <c r="M93" s="254">
        <f>Прайс!$F$12</f>
        <v>3040</v>
      </c>
      <c r="N93" s="254">
        <f t="shared" si="2"/>
        <v>0</v>
      </c>
      <c r="O93" s="254">
        <f>SUMIFS($X$3:$X$47,$T$3:$T$47,"",$V$3:$V$47,"Глянець",$F$3:$F$47,16)+SUMIFS($X$3:$X$47,$T$3:$T$47,"",$V$3:$V$47,"Глянець",$F$3:$F$47,4)+SUMIFS($X$3:$X$47,$T$3:$T$47,"",$V$3:$V$47,"Глянець",$F$3:$F$47,6)+SUMIFS($X$3:$X$47,$T$3:$T$47,"",$V$3:$V$47,"Глянець",$F$3:$F$47,8)+SUMIFS($X$3:$X$47,$T$3:$T$47,"",$V$3:$V$47,"Глянець",$F$3:$F$47,10)</f>
        <v>0</v>
      </c>
      <c r="P93" s="255"/>
      <c r="Q93" s="256"/>
      <c r="R93" s="257"/>
      <c r="S93" s="255"/>
      <c r="T93" s="255"/>
      <c r="U93" s="255"/>
      <c r="AF93" s="259"/>
      <c r="AG93" s="259"/>
      <c r="AH93" s="259"/>
      <c r="AI93" s="259"/>
      <c r="AJ93" s="259"/>
      <c r="AK93" s="259"/>
      <c r="AL93" s="259"/>
      <c r="AM93" s="259"/>
      <c r="AN93" s="259"/>
      <c r="AO93" s="259"/>
      <c r="AP93" s="260"/>
    </row>
    <row r="94" spans="2:42" s="258" customFormat="1" ht="15.75" x14ac:dyDescent="0.25">
      <c r="B94" s="252"/>
      <c r="C94" s="251" t="s">
        <v>217</v>
      </c>
      <c r="D94" s="251"/>
      <c r="E94" s="251"/>
      <c r="F94" s="251"/>
      <c r="G94" s="251"/>
      <c r="H94" s="251"/>
      <c r="I94" s="251"/>
      <c r="J94" s="251" t="s">
        <v>332</v>
      </c>
      <c r="K94" s="253">
        <f>SUMIFS($AG$3:$AG$47,$T$3:$T$47,"",$V$3:$V$47,"Глянець",$F$3:$F$47,19)</f>
        <v>0</v>
      </c>
      <c r="L94" s="254"/>
      <c r="M94" s="254">
        <f>Прайс!$G$12</f>
        <v>3110</v>
      </c>
      <c r="N94" s="254">
        <f t="shared" si="2"/>
        <v>0</v>
      </c>
      <c r="O94" s="254">
        <f>SUMIFS($Y$3:$Y$47,$T$3:$T$47,"",$V$3:$V$47,"Глянець",$F$3:$F$47,19)</f>
        <v>0</v>
      </c>
      <c r="P94" s="255"/>
      <c r="Q94" s="256"/>
      <c r="R94" s="257"/>
      <c r="S94" s="255"/>
      <c r="T94" s="255"/>
      <c r="U94" s="255"/>
      <c r="AF94" s="259"/>
      <c r="AG94" s="259"/>
      <c r="AH94" s="259"/>
      <c r="AI94" s="259"/>
      <c r="AJ94" s="259"/>
      <c r="AK94" s="259"/>
      <c r="AL94" s="259"/>
      <c r="AM94" s="259"/>
      <c r="AN94" s="259"/>
      <c r="AO94" s="259"/>
      <c r="AP94" s="260"/>
    </row>
    <row r="95" spans="2:42" s="258" customFormat="1" ht="15.75" x14ac:dyDescent="0.25">
      <c r="B95" s="252"/>
      <c r="C95" s="251" t="s">
        <v>419</v>
      </c>
      <c r="D95" s="251"/>
      <c r="E95" s="251"/>
      <c r="F95" s="251"/>
      <c r="G95" s="251"/>
      <c r="H95" s="251"/>
      <c r="I95" s="251"/>
      <c r="J95" s="208" t="s">
        <v>332</v>
      </c>
      <c r="K95" s="253">
        <f>SUMIFS($AG$3:$AG$47,$T$3:$T$47,"",$V$3:$V$47,"Глянець",$F$3:$F$47,22)</f>
        <v>0</v>
      </c>
      <c r="L95" s="254"/>
      <c r="M95" s="254">
        <f>Прайс!$G$12+700</f>
        <v>3810</v>
      </c>
      <c r="N95" s="254">
        <f t="shared" si="2"/>
        <v>0</v>
      </c>
      <c r="O95" s="254"/>
      <c r="P95" s="255"/>
      <c r="Q95" s="256"/>
      <c r="R95" s="257"/>
      <c r="S95" s="255"/>
      <c r="T95" s="255"/>
      <c r="U95" s="255"/>
      <c r="AF95" s="259"/>
      <c r="AG95" s="259"/>
      <c r="AH95" s="259"/>
      <c r="AI95" s="259"/>
      <c r="AJ95" s="259"/>
      <c r="AK95" s="259"/>
      <c r="AL95" s="259"/>
      <c r="AM95" s="259"/>
      <c r="AN95" s="259"/>
      <c r="AO95" s="259"/>
      <c r="AP95" s="260"/>
    </row>
    <row r="96" spans="2:42" s="258" customFormat="1" ht="15.75" x14ac:dyDescent="0.25">
      <c r="B96" s="251"/>
      <c r="C96" s="251" t="s">
        <v>335</v>
      </c>
      <c r="D96" s="251"/>
      <c r="E96" s="251"/>
      <c r="F96" s="251"/>
      <c r="G96" s="251"/>
      <c r="H96" s="251"/>
      <c r="I96" s="251"/>
      <c r="J96" s="251" t="s">
        <v>332</v>
      </c>
      <c r="K96" s="253">
        <f>SUMIFS($AG$3:$AG$47,$W$3:$W$47,"Глянець",$F$3:$F$47,19)+SUMIFS($AG$3:$AG$47,$W$3:$W$47,"Глянець",$F$3:$F$47,16)+SUMIFS($AG$3:$AG$47,$W$3:$W$47,"Глянець",$F$3:$F$47,10)+SUMIFS($AG$3:$AG$47,$W$3:$W$47,"Глянець",$F$3:$F$47,8)+SUMIFS($AG$3:$AG$47,$W$3:$W$47,"Глянець",$F$3:$F$47,6)+SUMIFS($AG$3:$AG$47,$W$3:$W$47,"Глянець",$F$3:$F$47,4)</f>
        <v>0</v>
      </c>
      <c r="L96" s="254"/>
      <c r="M96" s="254">
        <f>Прайс!$F$12-500</f>
        <v>2540</v>
      </c>
      <c r="N96" s="254">
        <f t="shared" si="2"/>
        <v>0</v>
      </c>
      <c r="O96" s="254">
        <f>SUMIFS($Z$3:$Z$47,$W$3:$W$47,"Глянець")</f>
        <v>0</v>
      </c>
      <c r="P96" s="255"/>
      <c r="Q96" s="256"/>
      <c r="R96" s="257"/>
      <c r="S96" s="255"/>
      <c r="T96" s="255"/>
      <c r="U96" s="255"/>
      <c r="AF96" s="259"/>
      <c r="AG96" s="259"/>
      <c r="AH96" s="259"/>
      <c r="AI96" s="259"/>
      <c r="AJ96" s="259"/>
      <c r="AK96" s="259"/>
      <c r="AL96" s="259"/>
      <c r="AM96" s="259"/>
      <c r="AN96" s="259"/>
      <c r="AO96" s="259"/>
      <c r="AP96" s="260"/>
    </row>
    <row r="97" spans="2:42" ht="15.75" x14ac:dyDescent="0.25">
      <c r="B97" s="208"/>
      <c r="C97" s="208" t="s">
        <v>366</v>
      </c>
      <c r="D97" s="208"/>
      <c r="E97" s="208"/>
      <c r="F97" s="208"/>
      <c r="G97" s="208"/>
      <c r="H97" s="208"/>
      <c r="I97" s="208"/>
      <c r="J97" s="208" t="s">
        <v>332</v>
      </c>
      <c r="K97" s="219">
        <f>SUMIFS($AG$3:$AG$47,$T$3:$T$47,"Перл.ср.",$F$3:$F$47,16)+SUMIFS($AG$3:$AG$47,$T$3:$T$47,"Перл.ср.",$F$3:$F$47,10)+SUMIFS($AG$3:$AG$47,$T$3:$T$47,"Перл.ср.",$F$3:$F$47,4)+SUMIFS($AG$3:$AG$47,$T$3:$T$47,"Перл.ср.",$F$3:$F$47,6)+SUMIFS($AG$3:$AG$47,$T$3:$T$47,"Перл.ср.",$F$3:$F$47,8)+SUMIFS($AG$3:$AG$47,$T$3:$T$47,"Перл.зол.",$F$3:$F$47,16)+SUMIFS($AG$3:$AG$47,$T$3:$T$47,"Перл.зол.",$F$3:$F$47,10)+SUMIFS($AG$3:$AG$47,$T$3:$T$47,"Перл.зол.",$F$3:$F$47,4)+SUMIFS($AG$3:$AG$47,$T$3:$T$47,"Перл.зол.",$F$3:$F$47,6)+SUMIFS($AG$3:$AG$47,$T$3:$T$47,"Перл.зол.",$F$3:$F$47,8)</f>
        <v>0</v>
      </c>
      <c r="L97" s="220"/>
      <c r="M97" s="220">
        <f>Прайс!$F$13</f>
        <v>3250</v>
      </c>
      <c r="N97" s="221">
        <f t="shared" si="2"/>
        <v>0</v>
      </c>
      <c r="O97" s="220"/>
      <c r="P97" s="189"/>
      <c r="Q97" s="125"/>
      <c r="R97" s="188"/>
      <c r="S97" s="189"/>
      <c r="T97" s="189"/>
      <c r="U97" s="189"/>
      <c r="AF97" s="213"/>
      <c r="AG97" s="213"/>
      <c r="AH97" s="213"/>
      <c r="AI97" s="213"/>
      <c r="AJ97" s="213"/>
      <c r="AK97" s="213"/>
      <c r="AL97" s="213"/>
      <c r="AM97" s="213"/>
      <c r="AN97" s="213"/>
      <c r="AO97" s="213"/>
      <c r="AP97" s="214"/>
    </row>
    <row r="98" spans="2:42" ht="15.75" x14ac:dyDescent="0.25">
      <c r="B98" s="208"/>
      <c r="C98" s="208" t="s">
        <v>367</v>
      </c>
      <c r="D98" s="208"/>
      <c r="E98" s="208"/>
      <c r="F98" s="208"/>
      <c r="G98" s="208"/>
      <c r="H98" s="208"/>
      <c r="I98" s="208"/>
      <c r="J98" s="208" t="s">
        <v>332</v>
      </c>
      <c r="K98" s="219">
        <f>SUMIFS($AG$3:$AG$47,$T$3:$T$47,"Перл.ср.",$F$3:$F$47,19)+SUMIFS($AG$3:$AG$47,$T$3:$T$47,"Перл.зол.",$F$3:$F$47,19)</f>
        <v>0</v>
      </c>
      <c r="L98" s="220"/>
      <c r="M98" s="220">
        <f>Прайс!$G$13</f>
        <v>3320</v>
      </c>
      <c r="N98" s="221">
        <f t="shared" si="2"/>
        <v>0</v>
      </c>
      <c r="O98" s="220"/>
      <c r="P98" s="189"/>
      <c r="Q98" s="125"/>
      <c r="R98" s="188"/>
      <c r="S98" s="189"/>
      <c r="T98" s="189"/>
      <c r="U98" s="189"/>
      <c r="AF98" s="213"/>
      <c r="AG98" s="213"/>
      <c r="AH98" s="213"/>
      <c r="AI98" s="213"/>
      <c r="AJ98" s="213"/>
      <c r="AK98" s="213"/>
      <c r="AL98" s="213"/>
      <c r="AM98" s="213"/>
      <c r="AN98" s="213"/>
      <c r="AO98" s="213"/>
      <c r="AP98" s="214"/>
    </row>
    <row r="99" spans="2:42" ht="15.75" x14ac:dyDescent="0.25">
      <c r="B99" s="208"/>
      <c r="C99" s="208" t="s">
        <v>420</v>
      </c>
      <c r="D99" s="208"/>
      <c r="E99" s="208"/>
      <c r="F99" s="208"/>
      <c r="G99" s="208"/>
      <c r="H99" s="208"/>
      <c r="I99" s="208"/>
      <c r="J99" s="208" t="s">
        <v>332</v>
      </c>
      <c r="K99" s="219">
        <f>SUMIFS($AG$3:$AG$47,$T$3:$T$47,"Перл.ср.",$F$3:$F$47,22)+SUMIFS($AG$3:$AG$47,$T$3:$T$47,"Перл.зол.",$F$3:$F$47,22)</f>
        <v>0</v>
      </c>
      <c r="L99" s="220"/>
      <c r="M99" s="220">
        <f>Прайс!$G$13+700</f>
        <v>4020</v>
      </c>
      <c r="N99" s="221">
        <f t="shared" si="2"/>
        <v>0</v>
      </c>
      <c r="O99" s="220"/>
      <c r="P99" s="189"/>
      <c r="Q99" s="125"/>
      <c r="R99" s="188"/>
      <c r="S99" s="189"/>
      <c r="T99" s="189"/>
      <c r="U99" s="189"/>
      <c r="AF99" s="213"/>
      <c r="AG99" s="213"/>
      <c r="AH99" s="213"/>
      <c r="AI99" s="213"/>
      <c r="AJ99" s="213"/>
      <c r="AK99" s="213"/>
      <c r="AL99" s="213"/>
      <c r="AM99" s="213"/>
      <c r="AN99" s="213"/>
      <c r="AO99" s="213"/>
      <c r="AP99" s="214"/>
    </row>
    <row r="100" spans="2:42" ht="15.75" x14ac:dyDescent="0.25">
      <c r="B100" s="208"/>
      <c r="C100" s="208" t="s">
        <v>368</v>
      </c>
      <c r="D100" s="208"/>
      <c r="E100" s="208"/>
      <c r="F100" s="208"/>
      <c r="G100" s="208"/>
      <c r="H100" s="208"/>
      <c r="I100" s="208"/>
      <c r="J100" s="208" t="s">
        <v>332</v>
      </c>
      <c r="K100" s="219"/>
      <c r="L100" s="220"/>
      <c r="M100" s="220">
        <f>Прайс!$F$13-500</f>
        <v>2750</v>
      </c>
      <c r="N100" s="221">
        <f t="shared" si="2"/>
        <v>0</v>
      </c>
      <c r="O100" s="220"/>
      <c r="P100" s="189"/>
      <c r="Q100" s="125"/>
      <c r="R100" s="188"/>
      <c r="S100" s="189"/>
      <c r="T100" s="189"/>
      <c r="U100" s="189"/>
      <c r="AF100" s="213"/>
      <c r="AG100" s="213"/>
      <c r="AH100" s="213"/>
      <c r="AI100" s="213"/>
      <c r="AJ100" s="213"/>
      <c r="AK100" s="213"/>
      <c r="AL100" s="213"/>
      <c r="AM100" s="213"/>
      <c r="AN100" s="213"/>
      <c r="AO100" s="213"/>
      <c r="AP100" s="214"/>
    </row>
    <row r="101" spans="2:42" s="258" customFormat="1" ht="15.75" x14ac:dyDescent="0.25">
      <c r="B101" s="251"/>
      <c r="C101" s="251" t="s">
        <v>369</v>
      </c>
      <c r="D101" s="251"/>
      <c r="E101" s="251"/>
      <c r="F101" s="251"/>
      <c r="G101" s="251"/>
      <c r="H101" s="251"/>
      <c r="I101" s="251"/>
      <c r="J101" s="251" t="s">
        <v>332</v>
      </c>
      <c r="K101" s="253">
        <f>SUMIFS($AG$3:$AG$47,$T$3:$T$47,"Гума",$F$3:$F$47,16)+SUMIFS($AG$3:$AG$47,$T$3:$T$47,"Гума",$F$3:$F$47,10)+SUMIFS($AG$3:$AG$47,$T$3:$T$47,"Гума",$F$3:$F$47,4)+SUMIFS($AG$3:$AG$47,$T$3:$T$47,"Гума",$F$3:$F$47,6)+SUMIFS($AG$3:$AG$47,$T$3:$T$47,"Гума",$F$3:$F$47,8)</f>
        <v>0</v>
      </c>
      <c r="L101" s="254"/>
      <c r="M101" s="254">
        <f>Прайс!$F$14</f>
        <v>3110</v>
      </c>
      <c r="N101" s="254">
        <f t="shared" si="2"/>
        <v>0</v>
      </c>
      <c r="O101" s="254"/>
      <c r="P101" s="255"/>
      <c r="Q101" s="256"/>
      <c r="R101" s="257"/>
      <c r="S101" s="255"/>
      <c r="T101" s="255"/>
      <c r="U101" s="255"/>
      <c r="AF101" s="259"/>
      <c r="AG101" s="259"/>
      <c r="AH101" s="259"/>
      <c r="AI101" s="259"/>
      <c r="AJ101" s="259"/>
      <c r="AK101" s="259"/>
      <c r="AL101" s="259"/>
      <c r="AM101" s="259"/>
      <c r="AN101" s="259"/>
      <c r="AO101" s="259"/>
      <c r="AP101" s="260"/>
    </row>
    <row r="102" spans="2:42" s="258" customFormat="1" ht="15.75" x14ac:dyDescent="0.25">
      <c r="B102" s="251"/>
      <c r="C102" s="251" t="s">
        <v>370</v>
      </c>
      <c r="D102" s="251"/>
      <c r="E102" s="251"/>
      <c r="F102" s="251"/>
      <c r="G102" s="251"/>
      <c r="H102" s="251"/>
      <c r="I102" s="251"/>
      <c r="J102" s="251" t="s">
        <v>332</v>
      </c>
      <c r="K102" s="253">
        <f>SUMIFS($AG$3:$AG$47,$T$3:$T$47,"Гума",$F$3:$F$47,19)</f>
        <v>0</v>
      </c>
      <c r="L102" s="254"/>
      <c r="M102" s="254">
        <f>Прайс!$G$14</f>
        <v>3180</v>
      </c>
      <c r="N102" s="254">
        <f t="shared" si="2"/>
        <v>0</v>
      </c>
      <c r="O102" s="254"/>
      <c r="P102" s="255"/>
      <c r="Q102" s="256"/>
      <c r="R102" s="257"/>
      <c r="S102" s="255"/>
      <c r="T102" s="255"/>
      <c r="U102" s="255"/>
      <c r="AF102" s="259"/>
      <c r="AG102" s="259"/>
      <c r="AH102" s="259"/>
      <c r="AI102" s="259"/>
      <c r="AJ102" s="259"/>
      <c r="AK102" s="259"/>
      <c r="AL102" s="259"/>
      <c r="AM102" s="259"/>
      <c r="AN102" s="259"/>
      <c r="AO102" s="259"/>
      <c r="AP102" s="260"/>
    </row>
    <row r="103" spans="2:42" s="258" customFormat="1" ht="15.75" x14ac:dyDescent="0.25">
      <c r="B103" s="251"/>
      <c r="C103" s="251" t="s">
        <v>421</v>
      </c>
      <c r="D103" s="251"/>
      <c r="E103" s="251"/>
      <c r="F103" s="251"/>
      <c r="G103" s="251"/>
      <c r="H103" s="251"/>
      <c r="I103" s="251"/>
      <c r="J103" s="208" t="s">
        <v>332</v>
      </c>
      <c r="K103" s="253">
        <f>SUMIFS($AG$3:$AG$47,$T$3:$T$47,"Гума",$F$3:$F$47,22)</f>
        <v>0</v>
      </c>
      <c r="L103" s="254"/>
      <c r="M103" s="254">
        <f>Прайс!$G$14+700</f>
        <v>3880</v>
      </c>
      <c r="N103" s="254">
        <f t="shared" si="2"/>
        <v>0</v>
      </c>
      <c r="O103" s="254"/>
      <c r="P103" s="255"/>
      <c r="Q103" s="256"/>
      <c r="R103" s="257"/>
      <c r="S103" s="255"/>
      <c r="T103" s="255"/>
      <c r="U103" s="255"/>
      <c r="AF103" s="259"/>
      <c r="AG103" s="259"/>
      <c r="AH103" s="259"/>
      <c r="AI103" s="259"/>
      <c r="AJ103" s="259"/>
      <c r="AK103" s="259"/>
      <c r="AL103" s="259"/>
      <c r="AM103" s="259"/>
      <c r="AN103" s="259"/>
      <c r="AO103" s="259"/>
      <c r="AP103" s="260"/>
    </row>
    <row r="104" spans="2:42" s="258" customFormat="1" ht="15.75" x14ac:dyDescent="0.25">
      <c r="B104" s="251"/>
      <c r="C104" s="251" t="s">
        <v>371</v>
      </c>
      <c r="D104" s="251"/>
      <c r="E104" s="251"/>
      <c r="F104" s="251"/>
      <c r="G104" s="251"/>
      <c r="H104" s="251"/>
      <c r="I104" s="251"/>
      <c r="J104" s="251" t="s">
        <v>332</v>
      </c>
      <c r="K104" s="253"/>
      <c r="L104" s="254"/>
      <c r="M104" s="254">
        <f>Прайс!$F$14-500</f>
        <v>2610</v>
      </c>
      <c r="N104" s="254">
        <f t="shared" si="2"/>
        <v>0</v>
      </c>
      <c r="O104" s="254"/>
      <c r="P104" s="255"/>
      <c r="Q104" s="256"/>
      <c r="R104" s="257"/>
      <c r="S104" s="255"/>
      <c r="T104" s="255"/>
      <c r="U104" s="255"/>
      <c r="AF104" s="259"/>
      <c r="AG104" s="259"/>
      <c r="AH104" s="259"/>
      <c r="AI104" s="259"/>
      <c r="AJ104" s="259"/>
      <c r="AK104" s="259"/>
      <c r="AL104" s="259"/>
      <c r="AM104" s="259"/>
      <c r="AN104" s="259"/>
      <c r="AO104" s="259"/>
      <c r="AP104" s="260"/>
    </row>
    <row r="105" spans="2:42" ht="15.75" x14ac:dyDescent="0.25">
      <c r="B105" s="208"/>
      <c r="C105" s="208" t="s">
        <v>372</v>
      </c>
      <c r="D105" s="208"/>
      <c r="E105" s="208"/>
      <c r="F105" s="208"/>
      <c r="G105" s="208"/>
      <c r="H105" s="208"/>
      <c r="I105" s="208"/>
      <c r="J105" s="208" t="s">
        <v>332</v>
      </c>
      <c r="K105" s="219">
        <f>SUMIFS($AG$3:$AG$47,$T$3:$T$47,"Металік",$F$3:$F$47,16)+SUMIFS($AG$3:$AG$47,$T$3:$T$47,"Металік",$F$3:$F$47,10)+SUMIFS($AG$3:$AG$47,$T$3:$T$47,"Металік",$F$3:$F$47,4)+SUMIFS($AG$3:$AG$47,$T$3:$T$47,"Металік",$F$3:$F$47,6)+SUMIFS($AG$3:$AG$47,$T$3:$T$47,"Металік",$F$3:$F$47,8)</f>
        <v>0</v>
      </c>
      <c r="L105" s="220"/>
      <c r="M105" s="220">
        <f>Прайс!$F$15</f>
        <v>3810</v>
      </c>
      <c r="N105" s="221">
        <f t="shared" si="2"/>
        <v>0</v>
      </c>
      <c r="O105" s="220"/>
      <c r="P105" s="189"/>
      <c r="Q105" s="125"/>
      <c r="R105" s="188"/>
      <c r="S105" s="189"/>
      <c r="T105" s="189"/>
      <c r="U105" s="189"/>
      <c r="AF105" s="213"/>
      <c r="AG105" s="213"/>
      <c r="AH105" s="213"/>
      <c r="AI105" s="213"/>
      <c r="AJ105" s="213"/>
      <c r="AK105" s="213"/>
      <c r="AL105" s="213"/>
      <c r="AM105" s="213"/>
      <c r="AN105" s="213"/>
      <c r="AO105" s="213"/>
      <c r="AP105" s="214"/>
    </row>
    <row r="106" spans="2:42" ht="15.75" x14ac:dyDescent="0.25">
      <c r="B106" s="208"/>
      <c r="C106" s="208" t="s">
        <v>373</v>
      </c>
      <c r="D106" s="208"/>
      <c r="E106" s="208"/>
      <c r="F106" s="208"/>
      <c r="G106" s="208"/>
      <c r="H106" s="208"/>
      <c r="I106" s="208"/>
      <c r="J106" s="208" t="s">
        <v>332</v>
      </c>
      <c r="K106" s="219">
        <f>SUMIFS($AG$3:$AG$47,$T$3:$T$47,"Металік",$F$3:$F$47,19)</f>
        <v>0</v>
      </c>
      <c r="L106" s="220"/>
      <c r="M106" s="220">
        <f>Прайс!$G$15</f>
        <v>3880</v>
      </c>
      <c r="N106" s="221">
        <f t="shared" si="2"/>
        <v>0</v>
      </c>
      <c r="O106" s="220"/>
      <c r="P106" s="189"/>
      <c r="Q106" s="125"/>
      <c r="R106" s="188"/>
      <c r="S106" s="189"/>
      <c r="T106" s="189"/>
      <c r="U106" s="189"/>
      <c r="AF106" s="213"/>
      <c r="AG106" s="213"/>
      <c r="AH106" s="213"/>
      <c r="AI106" s="213"/>
      <c r="AJ106" s="213"/>
      <c r="AK106" s="213"/>
      <c r="AL106" s="213"/>
      <c r="AM106" s="213"/>
      <c r="AN106" s="213"/>
      <c r="AO106" s="213"/>
      <c r="AP106" s="214"/>
    </row>
    <row r="107" spans="2:42" ht="15.75" x14ac:dyDescent="0.25">
      <c r="B107" s="208"/>
      <c r="C107" s="208" t="s">
        <v>422</v>
      </c>
      <c r="D107" s="208"/>
      <c r="E107" s="208"/>
      <c r="F107" s="208"/>
      <c r="G107" s="208"/>
      <c r="H107" s="208"/>
      <c r="I107" s="208"/>
      <c r="J107" s="208" t="s">
        <v>332</v>
      </c>
      <c r="K107" s="219">
        <f>SUMIFS($AG$3:$AG$47,$T$3:$T$47,"Металік",$F$3:$F$47,22)</f>
        <v>0</v>
      </c>
      <c r="L107" s="220"/>
      <c r="M107" s="220">
        <f>Прайс!$G$15+700</f>
        <v>4580</v>
      </c>
      <c r="N107" s="221">
        <f t="shared" si="2"/>
        <v>0</v>
      </c>
      <c r="O107" s="220"/>
      <c r="P107" s="189"/>
      <c r="Q107" s="125"/>
      <c r="R107" s="188"/>
      <c r="S107" s="189"/>
      <c r="T107" s="189"/>
      <c r="U107" s="189"/>
      <c r="AF107" s="213"/>
      <c r="AG107" s="213"/>
      <c r="AH107" s="213"/>
      <c r="AI107" s="213"/>
      <c r="AJ107" s="213"/>
      <c r="AK107" s="213"/>
      <c r="AL107" s="213"/>
      <c r="AM107" s="213"/>
      <c r="AN107" s="213"/>
      <c r="AO107" s="213"/>
      <c r="AP107" s="214"/>
    </row>
    <row r="108" spans="2:42" ht="15.75" x14ac:dyDescent="0.25">
      <c r="B108" s="208"/>
      <c r="C108" s="208" t="s">
        <v>374</v>
      </c>
      <c r="D108" s="208"/>
      <c r="E108" s="208"/>
      <c r="F108" s="208"/>
      <c r="G108" s="208"/>
      <c r="H108" s="208"/>
      <c r="I108" s="208"/>
      <c r="J108" s="208" t="s">
        <v>332</v>
      </c>
      <c r="K108" s="219"/>
      <c r="L108" s="220"/>
      <c r="M108" s="220">
        <f>Прайс!$F$15-500</f>
        <v>3310</v>
      </c>
      <c r="N108" s="221">
        <f t="shared" si="2"/>
        <v>0</v>
      </c>
      <c r="O108" s="220"/>
      <c r="P108" s="189"/>
      <c r="Q108" s="125"/>
      <c r="R108" s="188"/>
      <c r="S108" s="189"/>
      <c r="T108" s="189"/>
      <c r="U108" s="189"/>
      <c r="AF108" s="213"/>
      <c r="AG108" s="213"/>
      <c r="AH108" s="213"/>
      <c r="AI108" s="213"/>
      <c r="AJ108" s="213"/>
      <c r="AK108" s="213"/>
      <c r="AL108" s="213"/>
      <c r="AM108" s="213"/>
      <c r="AN108" s="213"/>
      <c r="AO108" s="213"/>
      <c r="AP108" s="214"/>
    </row>
    <row r="109" spans="2:42" s="258" customFormat="1" ht="15.75" x14ac:dyDescent="0.25">
      <c r="B109" s="251"/>
      <c r="C109" s="251" t="s">
        <v>375</v>
      </c>
      <c r="D109" s="251"/>
      <c r="E109" s="251"/>
      <c r="F109" s="251"/>
      <c r="G109" s="251"/>
      <c r="H109" s="251"/>
      <c r="I109" s="251"/>
      <c r="J109" s="251" t="s">
        <v>332</v>
      </c>
      <c r="K109" s="253">
        <f>SUMIFS($AG$3:$AG$47,$T$3:$T$47,"Рідке скло",$F$3:$F$47,16)+SUMIFS($AG$3:$AG$47,$T$3:$T$47,"Рідке скло",$F$3:$F$47,10)+SUMIFS($AG$3:$AG$47,$T$3:$T$47,"Рідке скло",$F$3:$F$47,4)+SUMIFS($AG$3:$AG$47,$T$3:$T$47,"Рідке скло",$F$3:$F$47,6)+SUMIFS($AG$3:$AG$47,$T$3:$T$47,"Рідке скло",$F$3:$F$47,8)</f>
        <v>0</v>
      </c>
      <c r="L109" s="254"/>
      <c r="M109" s="254">
        <f>Прайс!$F$16</f>
        <v>3390</v>
      </c>
      <c r="N109" s="254">
        <f t="shared" si="2"/>
        <v>0</v>
      </c>
      <c r="O109" s="254"/>
      <c r="P109" s="255"/>
      <c r="Q109" s="256"/>
      <c r="R109" s="257"/>
      <c r="S109" s="255"/>
      <c r="T109" s="255"/>
      <c r="U109" s="255"/>
      <c r="AF109" s="259"/>
      <c r="AG109" s="259"/>
      <c r="AH109" s="259"/>
      <c r="AI109" s="259"/>
      <c r="AJ109" s="259"/>
      <c r="AK109" s="259"/>
      <c r="AL109" s="259"/>
      <c r="AM109" s="259"/>
      <c r="AN109" s="259"/>
      <c r="AO109" s="259"/>
      <c r="AP109" s="260"/>
    </row>
    <row r="110" spans="2:42" s="258" customFormat="1" ht="15.75" x14ac:dyDescent="0.25">
      <c r="B110" s="251"/>
      <c r="C110" s="251" t="s">
        <v>376</v>
      </c>
      <c r="D110" s="251"/>
      <c r="E110" s="251"/>
      <c r="F110" s="251"/>
      <c r="G110" s="251"/>
      <c r="H110" s="251"/>
      <c r="I110" s="251"/>
      <c r="J110" s="251" t="s">
        <v>332</v>
      </c>
      <c r="K110" s="253">
        <f>SUMIFS($AG$3:$AG$47,$T$3:$T$47,"Рідке скло",$F$3:$F$47,19)</f>
        <v>0</v>
      </c>
      <c r="L110" s="254"/>
      <c r="M110" s="254">
        <f>Прайс!$G$16</f>
        <v>3460</v>
      </c>
      <c r="N110" s="254">
        <f t="shared" si="2"/>
        <v>0</v>
      </c>
      <c r="O110" s="254"/>
      <c r="P110" s="255"/>
      <c r="Q110" s="256"/>
      <c r="R110" s="257"/>
      <c r="S110" s="255"/>
      <c r="T110" s="255"/>
      <c r="U110" s="255"/>
      <c r="AF110" s="259"/>
      <c r="AG110" s="259"/>
      <c r="AH110" s="259"/>
      <c r="AI110" s="259"/>
      <c r="AJ110" s="259"/>
      <c r="AK110" s="259"/>
      <c r="AL110" s="259"/>
      <c r="AM110" s="259"/>
      <c r="AN110" s="259"/>
      <c r="AO110" s="259"/>
      <c r="AP110" s="260"/>
    </row>
    <row r="111" spans="2:42" s="258" customFormat="1" ht="15.75" x14ac:dyDescent="0.25">
      <c r="B111" s="251"/>
      <c r="C111" s="251" t="s">
        <v>423</v>
      </c>
      <c r="D111" s="251"/>
      <c r="E111" s="251"/>
      <c r="F111" s="251"/>
      <c r="G111" s="251"/>
      <c r="H111" s="251"/>
      <c r="I111" s="251"/>
      <c r="J111" s="208" t="s">
        <v>332</v>
      </c>
      <c r="K111" s="253">
        <f>SUMIFS($AG$3:$AG$47,$T$3:$T$47,"Рідке скло",$F$3:$F$47,22)</f>
        <v>0</v>
      </c>
      <c r="L111" s="254"/>
      <c r="M111" s="254">
        <f>Прайс!$G$16+700</f>
        <v>4160</v>
      </c>
      <c r="N111" s="254">
        <f t="shared" si="2"/>
        <v>0</v>
      </c>
      <c r="O111" s="254"/>
      <c r="P111" s="255"/>
      <c r="Q111" s="256"/>
      <c r="R111" s="257"/>
      <c r="S111" s="255"/>
      <c r="T111" s="255"/>
      <c r="U111" s="255"/>
      <c r="AF111" s="259"/>
      <c r="AG111" s="259"/>
      <c r="AH111" s="259"/>
      <c r="AI111" s="259"/>
      <c r="AJ111" s="259"/>
      <c r="AK111" s="259"/>
      <c r="AL111" s="259"/>
      <c r="AM111" s="259"/>
      <c r="AN111" s="259"/>
      <c r="AO111" s="259"/>
      <c r="AP111" s="260"/>
    </row>
    <row r="112" spans="2:42" s="258" customFormat="1" ht="15.75" x14ac:dyDescent="0.25">
      <c r="B112" s="251"/>
      <c r="C112" s="251" t="s">
        <v>377</v>
      </c>
      <c r="D112" s="251"/>
      <c r="E112" s="251"/>
      <c r="F112" s="251"/>
      <c r="G112" s="251"/>
      <c r="H112" s="251"/>
      <c r="I112" s="251"/>
      <c r="J112" s="251" t="s">
        <v>332</v>
      </c>
      <c r="K112" s="253"/>
      <c r="L112" s="254"/>
      <c r="M112" s="254">
        <f>Прайс!$F$16-500</f>
        <v>2890</v>
      </c>
      <c r="N112" s="254">
        <f t="shared" si="2"/>
        <v>0</v>
      </c>
      <c r="O112" s="254"/>
      <c r="P112" s="255"/>
      <c r="Q112" s="256"/>
      <c r="R112" s="257"/>
      <c r="S112" s="255"/>
      <c r="T112" s="255"/>
      <c r="U112" s="255"/>
      <c r="AF112" s="259"/>
      <c r="AG112" s="259"/>
      <c r="AH112" s="259"/>
      <c r="AI112" s="259"/>
      <c r="AJ112" s="259"/>
      <c r="AK112" s="259"/>
      <c r="AL112" s="259"/>
      <c r="AM112" s="259"/>
      <c r="AN112" s="259"/>
      <c r="AO112" s="259"/>
      <c r="AP112" s="260"/>
    </row>
    <row r="113" spans="2:42" ht="15.75" x14ac:dyDescent="0.25">
      <c r="B113" s="208"/>
      <c r="C113" s="208" t="s">
        <v>378</v>
      </c>
      <c r="D113" s="208"/>
      <c r="E113" s="208"/>
      <c r="F113" s="208"/>
      <c r="G113" s="208"/>
      <c r="H113" s="208"/>
      <c r="I113" s="208"/>
      <c r="J113" s="208" t="s">
        <v>332</v>
      </c>
      <c r="K113" s="219">
        <f>SUMIFS($AG$3:$AG$47,$T$3:$T$47,"Перли",$F$3:$F$47,16)+SUMIFS($AG$3:$AG$47,$T$3:$T$47,"Перли",$F$3:$F$47,10)+SUMIFS($AG$3:$AG$47,$T$3:$T$47,"Перли",$F$3:$F$47,4)+SUMIFS($AG$3:$AG$47,$T$3:$T$47,"Перли",$F$3:$F$47,6)+SUMIFS($AG$3:$AG$47,$T$3:$T$47,"Перли",$F$3:$F$47,8)+SUMIFS($AG$3:$AG$47,$T$3:$T$47,"Графіт",$F$3:$F$47,16)+SUMIFS($AG$3:$AG$47,$T$3:$T$47,"Графіт",$F$3:$F$47,10)+SUMIFS($AG$3:$AG$47,$T$3:$T$47,"Графіт",$F$3:$F$47,4)+SUMIFS($AG$3:$AG$47,$T$3:$T$47,"Графіт",$F$3:$F$47,6)+SUMIFS($AG$3:$AG$47,$T$3:$T$47,"Графіт",$F$3:$F$47,8)</f>
        <v>0</v>
      </c>
      <c r="L113" s="220"/>
      <c r="M113" s="220">
        <f>Прайс!$F$17</f>
        <v>3530</v>
      </c>
      <c r="N113" s="221">
        <f t="shared" si="2"/>
        <v>0</v>
      </c>
      <c r="O113" s="220"/>
      <c r="P113" s="189"/>
      <c r="Q113" s="125"/>
      <c r="R113" s="188"/>
      <c r="S113" s="189"/>
      <c r="T113" s="189"/>
      <c r="U113" s="189"/>
      <c r="AF113" s="213"/>
      <c r="AG113" s="213"/>
      <c r="AH113" s="213"/>
      <c r="AI113" s="213"/>
      <c r="AJ113" s="213"/>
      <c r="AK113" s="213"/>
      <c r="AL113" s="213"/>
      <c r="AM113" s="213"/>
      <c r="AN113" s="213"/>
      <c r="AO113" s="213"/>
      <c r="AP113" s="214"/>
    </row>
    <row r="114" spans="2:42" ht="15.75" x14ac:dyDescent="0.25">
      <c r="B114" s="208"/>
      <c r="C114" s="208" t="s">
        <v>379</v>
      </c>
      <c r="D114" s="208"/>
      <c r="E114" s="208"/>
      <c r="F114" s="208"/>
      <c r="G114" s="208"/>
      <c r="H114" s="208"/>
      <c r="I114" s="208"/>
      <c r="J114" s="208" t="s">
        <v>332</v>
      </c>
      <c r="K114" s="219">
        <f>SUMIFS($AG$3:$AG$47,$T$3:$T$47,"Перли",$F$3:$F$47,19)+SUMIFS($AG$3:$AG$47,$T$3:$T$47,"Графіт",$F$3:$F$47,19)</f>
        <v>0</v>
      </c>
      <c r="L114" s="220"/>
      <c r="M114" s="220">
        <f>Прайс!$G$17-500</f>
        <v>3100</v>
      </c>
      <c r="N114" s="221">
        <f t="shared" si="2"/>
        <v>0</v>
      </c>
      <c r="O114" s="220"/>
      <c r="P114" s="189"/>
      <c r="Q114" s="125"/>
      <c r="R114" s="188"/>
      <c r="S114" s="189"/>
      <c r="T114" s="189"/>
      <c r="U114" s="189"/>
      <c r="AF114" s="213"/>
      <c r="AG114" s="213"/>
      <c r="AH114" s="213"/>
      <c r="AI114" s="213"/>
      <c r="AJ114" s="213"/>
      <c r="AK114" s="213"/>
      <c r="AL114" s="213"/>
      <c r="AM114" s="213"/>
      <c r="AN114" s="213"/>
      <c r="AO114" s="213"/>
      <c r="AP114" s="214"/>
    </row>
    <row r="115" spans="2:42" ht="15.75" x14ac:dyDescent="0.25">
      <c r="B115" s="208"/>
      <c r="C115" s="208" t="s">
        <v>424</v>
      </c>
      <c r="D115" s="208"/>
      <c r="E115" s="208"/>
      <c r="F115" s="208"/>
      <c r="G115" s="208"/>
      <c r="H115" s="208"/>
      <c r="I115" s="208"/>
      <c r="J115" s="208" t="s">
        <v>332</v>
      </c>
      <c r="K115" s="219">
        <f>SUMIFS($AG$3:$AG$47,$T$3:$T$47,"Перли",$F$3:$F$47,22)+SUMIFS($AG$3:$AG$47,$T$3:$T$47,"Графіт",$F$3:$F$47,22)</f>
        <v>0</v>
      </c>
      <c r="L115" s="220"/>
      <c r="M115" s="220">
        <f>Прайс!$G$17-500+700</f>
        <v>3800</v>
      </c>
      <c r="N115" s="221">
        <f t="shared" si="2"/>
        <v>0</v>
      </c>
      <c r="O115" s="220"/>
      <c r="P115" s="189"/>
      <c r="Q115" s="125"/>
      <c r="R115" s="188"/>
      <c r="S115" s="189"/>
      <c r="T115" s="189"/>
      <c r="U115" s="189"/>
      <c r="AF115" s="213"/>
      <c r="AG115" s="213"/>
      <c r="AH115" s="213"/>
      <c r="AI115" s="213"/>
      <c r="AJ115" s="213"/>
      <c r="AK115" s="213"/>
      <c r="AL115" s="213"/>
      <c r="AM115" s="213"/>
      <c r="AN115" s="213"/>
      <c r="AO115" s="213"/>
      <c r="AP115" s="214"/>
    </row>
    <row r="116" spans="2:42" ht="15.75" x14ac:dyDescent="0.25">
      <c r="B116" s="208"/>
      <c r="C116" s="208" t="s">
        <v>380</v>
      </c>
      <c r="D116" s="208"/>
      <c r="E116" s="208"/>
      <c r="F116" s="208"/>
      <c r="G116" s="208"/>
      <c r="H116" s="208"/>
      <c r="I116" s="208"/>
      <c r="J116" s="208" t="s">
        <v>332</v>
      </c>
      <c r="K116" s="219"/>
      <c r="L116" s="220"/>
      <c r="M116" s="220">
        <f>Прайс!$F$17-500</f>
        <v>3030</v>
      </c>
      <c r="N116" s="221">
        <f t="shared" si="2"/>
        <v>0</v>
      </c>
      <c r="O116" s="220"/>
      <c r="P116" s="189"/>
      <c r="Q116" s="125"/>
      <c r="R116" s="188"/>
      <c r="S116" s="189"/>
      <c r="T116" s="189"/>
      <c r="U116" s="189"/>
      <c r="AF116" s="213"/>
      <c r="AG116" s="213"/>
      <c r="AH116" s="213"/>
      <c r="AI116" s="213"/>
      <c r="AJ116" s="213"/>
      <c r="AK116" s="213"/>
      <c r="AL116" s="213"/>
      <c r="AM116" s="213"/>
      <c r="AN116" s="213"/>
      <c r="AO116" s="213"/>
      <c r="AP116" s="214"/>
    </row>
    <row r="117" spans="2:42" s="258" customFormat="1" ht="15.75" x14ac:dyDescent="0.25">
      <c r="B117" s="251"/>
      <c r="C117" s="251" t="s">
        <v>381</v>
      </c>
      <c r="D117" s="251"/>
      <c r="E117" s="251"/>
      <c r="F117" s="251"/>
      <c r="G117" s="251"/>
      <c r="H117" s="251"/>
      <c r="I117" s="251"/>
      <c r="J117" s="251" t="s">
        <v>332</v>
      </c>
      <c r="K117" s="253">
        <f>SUMIFS($AG$3:$AG$47,$T$3:$T$47,"Зор.н.зол.",$F$3:$F$47,16)+SUMIFS($AG$3:$AG$47,$T$3:$T$47,"Зор.н.зол.",$F$3:$F$47,10)+SUMIFS($AG$3:$AG$47,$T$3:$T$47,"Зор.н.зол.",$F$3:$F$47,4)+SUMIFS($AG$3:$AG$47,$T$3:$T$47,"Зор.н.зол.",$F$3:$F$47,6)+SUMIFS($AG$3:$AG$47,$T$3:$T$47,"Зор.н.зол.",$F$3:$F$47,8)+SUMIFS($AG$3:$AG$47,$T$3:$T$47,"Зор.н.ср.",$F$3:$F$47,16)+SUMIFS($AG$3:$AG$47,$T$3:$T$47,"Зор.н.ср.",$F$3:$F$47,10)+SUMIFS($AG$3:$AG$47,$T$3:$T$47,"Зор.н.ср.",$F$3:$F$47,4)+SUMIFS($AG$3:$AG$47,$T$3:$T$47,"Зор.н.ср.",$F$3:$F$47,6)+SUMIFS($AG$3:$AG$47,$T$3:$T$47,"Зор.н.ср.",$F$3:$F$47,8)+SUMIFS($AG$3:$AG$47,$T$3:$T$47,"Зор.н.різн.",$F$3:$F$47,16)+SUMIFS($AG$3:$AG$47,$T$3:$T$47,"Зор.н.різн.",$F$3:$F$47,10)+SUMIFS($AG$3:$AG$47,$T$3:$T$47,"Зор.н.різн.",$F$3:$F$47,4)+SUMIFS($AG$3:$AG$47,$T$3:$T$47,"Зор.н.різн.",$F$3:$F$47,6)+SUMIFS($AG$3:$AG$47,$T$3:$T$47,"Зор.н.різн.",$F$3:$F$47,8)</f>
        <v>0</v>
      </c>
      <c r="L117" s="254"/>
      <c r="M117" s="254">
        <f>Прайс!$F$18</f>
        <v>3740</v>
      </c>
      <c r="N117" s="254">
        <f t="shared" si="2"/>
        <v>0</v>
      </c>
      <c r="O117" s="254"/>
      <c r="P117" s="255"/>
      <c r="Q117" s="256"/>
      <c r="R117" s="257"/>
      <c r="S117" s="255"/>
      <c r="T117" s="255"/>
      <c r="U117" s="255"/>
      <c r="AF117" s="259"/>
      <c r="AG117" s="259"/>
      <c r="AH117" s="259"/>
      <c r="AI117" s="259"/>
      <c r="AJ117" s="259"/>
      <c r="AK117" s="259"/>
      <c r="AL117" s="259"/>
      <c r="AM117" s="259"/>
      <c r="AN117" s="259"/>
      <c r="AO117" s="259"/>
      <c r="AP117" s="260"/>
    </row>
    <row r="118" spans="2:42" s="258" customFormat="1" ht="15.75" x14ac:dyDescent="0.25">
      <c r="B118" s="251"/>
      <c r="C118" s="251" t="s">
        <v>382</v>
      </c>
      <c r="D118" s="251"/>
      <c r="E118" s="251"/>
      <c r="F118" s="251"/>
      <c r="G118" s="251"/>
      <c r="H118" s="251"/>
      <c r="I118" s="251"/>
      <c r="J118" s="251" t="s">
        <v>332</v>
      </c>
      <c r="K118" s="253">
        <f>SUMIFS($AG$3:$AG$47,$T$3:$T$47,"Зор.н.зол.",$F$3:$F$47,19)+SUMIFS($AG$3:$AG$47,$T$3:$T$47,"Зор.н.ср.",$F$3:$F$47,19)+SUMIFS($AG$3:$AG$47,$T$3:$T$47,"Зор.н.різн.",$F$3:$F$47,19)</f>
        <v>0</v>
      </c>
      <c r="L118" s="254"/>
      <c r="M118" s="254">
        <f>Прайс!$G$18</f>
        <v>3810</v>
      </c>
      <c r="N118" s="254">
        <f t="shared" si="2"/>
        <v>0</v>
      </c>
      <c r="O118" s="254"/>
      <c r="P118" s="255"/>
      <c r="Q118" s="256"/>
      <c r="R118" s="257"/>
      <c r="S118" s="255"/>
      <c r="T118" s="255"/>
      <c r="U118" s="255"/>
      <c r="AF118" s="259"/>
      <c r="AG118" s="259"/>
      <c r="AH118" s="259"/>
      <c r="AI118" s="259"/>
      <c r="AJ118" s="259"/>
      <c r="AK118" s="259"/>
      <c r="AL118" s="259"/>
      <c r="AM118" s="259"/>
      <c r="AN118" s="259"/>
      <c r="AO118" s="259"/>
      <c r="AP118" s="260"/>
    </row>
    <row r="119" spans="2:42" s="258" customFormat="1" ht="15.75" x14ac:dyDescent="0.25">
      <c r="B119" s="251"/>
      <c r="C119" s="251" t="s">
        <v>425</v>
      </c>
      <c r="D119" s="251"/>
      <c r="E119" s="251"/>
      <c r="F119" s="251"/>
      <c r="G119" s="251"/>
      <c r="H119" s="251"/>
      <c r="I119" s="251"/>
      <c r="J119" s="208" t="s">
        <v>332</v>
      </c>
      <c r="K119" s="253">
        <f>SUMIFS($AG$3:$AG$47,$T$3:$T$47,"Зор.н.зол.",$F$3:$F$47,22)+SUMIFS($AG$3:$AG$47,$T$3:$T$47,"Зор.н.ср.",$F$3:$F$47,22)+SUMIFS($AG$3:$AG$47,$T$3:$T$47,"Зор.н.різн.",$F$3:$F$47,22)</f>
        <v>0</v>
      </c>
      <c r="L119" s="254"/>
      <c r="M119" s="254">
        <f>Прайс!$G$18+700</f>
        <v>4510</v>
      </c>
      <c r="N119" s="254">
        <f t="shared" si="2"/>
        <v>0</v>
      </c>
      <c r="O119" s="254"/>
      <c r="P119" s="255"/>
      <c r="Q119" s="256"/>
      <c r="R119" s="257"/>
      <c r="S119" s="255"/>
      <c r="T119" s="255"/>
      <c r="U119" s="255"/>
      <c r="AF119" s="259"/>
      <c r="AG119" s="259"/>
      <c r="AH119" s="259"/>
      <c r="AI119" s="259"/>
      <c r="AJ119" s="259"/>
      <c r="AK119" s="259"/>
      <c r="AL119" s="259"/>
      <c r="AM119" s="259"/>
      <c r="AN119" s="259"/>
      <c r="AO119" s="259"/>
      <c r="AP119" s="260"/>
    </row>
    <row r="120" spans="2:42" s="258" customFormat="1" ht="15.75" x14ac:dyDescent="0.25">
      <c r="B120" s="251"/>
      <c r="C120" s="251" t="s">
        <v>383</v>
      </c>
      <c r="D120" s="251"/>
      <c r="E120" s="251"/>
      <c r="F120" s="251"/>
      <c r="G120" s="251"/>
      <c r="H120" s="251"/>
      <c r="I120" s="251"/>
      <c r="J120" s="251" t="s">
        <v>332</v>
      </c>
      <c r="K120" s="253"/>
      <c r="L120" s="254"/>
      <c r="M120" s="254">
        <f>Прайс!$F$18-500</f>
        <v>3240</v>
      </c>
      <c r="N120" s="254">
        <f t="shared" si="2"/>
        <v>0</v>
      </c>
      <c r="O120" s="254"/>
      <c r="P120" s="255"/>
      <c r="Q120" s="256"/>
      <c r="R120" s="257"/>
      <c r="S120" s="255"/>
      <c r="T120" s="255"/>
      <c r="U120" s="255"/>
      <c r="AF120" s="259"/>
      <c r="AG120" s="259"/>
      <c r="AH120" s="259"/>
      <c r="AI120" s="259"/>
      <c r="AJ120" s="259"/>
      <c r="AK120" s="259"/>
      <c r="AL120" s="259"/>
      <c r="AM120" s="259"/>
      <c r="AN120" s="259"/>
      <c r="AO120" s="259"/>
      <c r="AP120" s="260"/>
    </row>
    <row r="121" spans="2:42" ht="15.75" x14ac:dyDescent="0.25">
      <c r="B121" s="208"/>
      <c r="C121" s="208" t="s">
        <v>220</v>
      </c>
      <c r="D121" s="208"/>
      <c r="E121" s="208"/>
      <c r="F121" s="208"/>
      <c r="G121" s="208"/>
      <c r="H121" s="208"/>
      <c r="I121" s="208"/>
      <c r="J121" s="208" t="s">
        <v>332</v>
      </c>
      <c r="K121" s="219">
        <f>SUMIFS($AG$3:$AG$47,$T$3:$T$47,"2-х кол.х.",$F$3:$F$47,16)+SUMIFS($AG$3:$AG$47,$T$3:$T$47,"2-х кол.х.",$F$3:$F$47,10)+SUMIFS($AG$3:$AG$47,$T$3:$T$47,"2-х кол.х.",$F$3:$F$47,4)+SUMIFS($AG$3:$AG$47,$T$3:$T$47,"2-х кол.х.",$F$3:$F$47,6)+SUMIFS($AG$3:$AG$47,$T$3:$T$47,"2-х кол.х.",$F$3:$F$47,8)</f>
        <v>0</v>
      </c>
      <c r="L121" s="220"/>
      <c r="M121" s="220">
        <f>Прайс!$F$19</f>
        <v>4580</v>
      </c>
      <c r="N121" s="221">
        <f t="shared" si="2"/>
        <v>0</v>
      </c>
      <c r="O121" s="220">
        <f>SUMIFS($X$3:$X$47,$T$3:$T$47,"2-х кол.х.",$F$3:$F$47,16)+SUMIFS($X$3:$X$47,$T$3:$T$47,"2-х кол.х.",$F$3:$F$47,4)+SUMIFS($X$3:$X$47,$T$3:$T$47,"2-х кол.х.",$F$3:$F$47,6)+SUMIFS($X$3:$X$47,$T$3:$T$47,"2-х кол.х.",$F$3:$F$47,8)+SUMIFS($X$3:$X$47,$T$3:$T$47,"2-х кол.х.",$F$3:$F$47,10)</f>
        <v>0</v>
      </c>
      <c r="P121" s="189"/>
      <c r="Q121" s="125"/>
      <c r="R121" s="188"/>
      <c r="S121" s="189"/>
      <c r="T121" s="189"/>
      <c r="U121" s="189"/>
      <c r="AF121" s="213"/>
      <c r="AG121" s="213"/>
      <c r="AH121" s="213"/>
      <c r="AI121" s="213"/>
      <c r="AJ121" s="213"/>
      <c r="AK121" s="213"/>
      <c r="AL121" s="213"/>
      <c r="AM121" s="213"/>
      <c r="AN121" s="213"/>
      <c r="AO121" s="213"/>
      <c r="AP121" s="214"/>
    </row>
    <row r="122" spans="2:42" ht="15.75" x14ac:dyDescent="0.25">
      <c r="B122" s="208"/>
      <c r="C122" s="208" t="s">
        <v>221</v>
      </c>
      <c r="D122" s="208"/>
      <c r="E122" s="208"/>
      <c r="F122" s="208"/>
      <c r="G122" s="208"/>
      <c r="H122" s="208"/>
      <c r="I122" s="208"/>
      <c r="J122" s="208" t="s">
        <v>332</v>
      </c>
      <c r="K122" s="219">
        <f>SUMIFS($AG$3:$AG$47,$T$3:$T$47,"2-х кол.х.",$F$3:$F$47,19)</f>
        <v>0</v>
      </c>
      <c r="L122" s="220"/>
      <c r="M122" s="220">
        <f>Прайс!$G$19</f>
        <v>4650</v>
      </c>
      <c r="N122" s="221">
        <f t="shared" si="2"/>
        <v>0</v>
      </c>
      <c r="O122" s="220">
        <f>SUMIFS($X$3:$X$47,$T$3:$T$47,"2-х кол.х.",$F$3:$F$47,19)</f>
        <v>0</v>
      </c>
      <c r="P122" s="189"/>
      <c r="Q122" s="125"/>
      <c r="R122" s="188"/>
      <c r="S122" s="189"/>
      <c r="T122" s="189"/>
      <c r="U122" s="189"/>
      <c r="AF122" s="213"/>
      <c r="AG122" s="213"/>
      <c r="AH122" s="213"/>
      <c r="AI122" s="213"/>
      <c r="AJ122" s="213"/>
      <c r="AK122" s="213"/>
      <c r="AL122" s="213"/>
      <c r="AM122" s="213"/>
      <c r="AN122" s="213"/>
      <c r="AO122" s="213"/>
      <c r="AP122" s="214"/>
    </row>
    <row r="123" spans="2:42" ht="15.75" x14ac:dyDescent="0.25">
      <c r="B123" s="208"/>
      <c r="C123" s="208" t="s">
        <v>426</v>
      </c>
      <c r="D123" s="208"/>
      <c r="E123" s="208"/>
      <c r="F123" s="208"/>
      <c r="G123" s="208"/>
      <c r="H123" s="208"/>
      <c r="I123" s="208"/>
      <c r="J123" s="208" t="s">
        <v>332</v>
      </c>
      <c r="K123" s="219">
        <f>SUMIFS($AG$3:$AG$47,$T$3:$T$47,"2-х кол.х.",$F$3:$F$47,22)</f>
        <v>0</v>
      </c>
      <c r="L123" s="220"/>
      <c r="M123" s="220">
        <f>Прайс!$G$19+700</f>
        <v>5350</v>
      </c>
      <c r="N123" s="221">
        <f t="shared" si="2"/>
        <v>0</v>
      </c>
      <c r="O123" s="220"/>
      <c r="P123" s="189"/>
      <c r="Q123" s="125"/>
      <c r="R123" s="188"/>
      <c r="S123" s="189"/>
      <c r="T123" s="189"/>
      <c r="U123" s="189"/>
      <c r="AF123" s="213"/>
      <c r="AG123" s="213"/>
      <c r="AH123" s="213"/>
      <c r="AI123" s="213"/>
      <c r="AJ123" s="213"/>
      <c r="AK123" s="213"/>
      <c r="AL123" s="213"/>
      <c r="AM123" s="213"/>
      <c r="AN123" s="213"/>
      <c r="AO123" s="213"/>
      <c r="AP123" s="214"/>
    </row>
    <row r="124" spans="2:42" s="258" customFormat="1" ht="15.75" x14ac:dyDescent="0.25">
      <c r="B124" s="251"/>
      <c r="C124" s="251" t="s">
        <v>222</v>
      </c>
      <c r="D124" s="251"/>
      <c r="E124" s="251"/>
      <c r="F124" s="251"/>
      <c r="G124" s="251"/>
      <c r="H124" s="251"/>
      <c r="I124" s="251"/>
      <c r="J124" s="251" t="s">
        <v>332</v>
      </c>
      <c r="K124" s="253">
        <f>SUMIFS($AG$3:$AG$47,$T$3:$T$47,"3-х кол.х.",$F$3:$F$47,16)+SUMIFS($AG$3:$AG$47,$T$3:$T$47,"3-х кол.х.",$F$3:$F$47,10)+SUMIFS($AG$3:$AG$47,$T$3:$T$47,"3-х кол.х.",$F$3:$F$47,4)+SUMIFS($AG$3:$AG$47,$T$3:$T$47,"3-х кол.х.",$F$3:$F$47,6)+SUMIFS($AG$3:$AG$47,$T$3:$T$47,"3-х кол.х.",$F$3:$F$47,8)</f>
        <v>0</v>
      </c>
      <c r="L124" s="254"/>
      <c r="M124" s="254">
        <f>Прайс!$F$20</f>
        <v>5140</v>
      </c>
      <c r="N124" s="254">
        <f t="shared" si="2"/>
        <v>0</v>
      </c>
      <c r="O124" s="254">
        <f>SUMIFS($X$3:$X$47,$T$3:$T$47,"3-х кол.х.",$F$3:$F$47,16)+SUMIFS($X$3:$X$47,$T$3:$T$47,"3-х кол.х.",$F$3:$F$47,4)+SUMIFS($X$3:$X$47,$T$3:$T$47,"3-х кол.х.",$F$3:$F$47,6)+SUMIFS($X$3:$X$47,$T$3:$T$47,"3-х кол.х.",$F$3:$F$47,8)+SUMIFS($X$3:$X$47,$T$3:$T$47,"3-х кол.х.",$F$3:$F$47,10)</f>
        <v>0</v>
      </c>
      <c r="P124" s="255"/>
      <c r="Q124" s="256"/>
      <c r="R124" s="257"/>
      <c r="S124" s="255"/>
      <c r="T124" s="255"/>
      <c r="U124" s="255"/>
      <c r="AF124" s="259"/>
      <c r="AG124" s="259"/>
      <c r="AH124" s="259"/>
      <c r="AI124" s="259"/>
      <c r="AJ124" s="259"/>
      <c r="AK124" s="259"/>
      <c r="AL124" s="259"/>
      <c r="AM124" s="259"/>
      <c r="AN124" s="259"/>
      <c r="AO124" s="259"/>
      <c r="AP124" s="260"/>
    </row>
    <row r="125" spans="2:42" s="258" customFormat="1" ht="15.75" x14ac:dyDescent="0.25">
      <c r="B125" s="251"/>
      <c r="C125" s="251" t="s">
        <v>223</v>
      </c>
      <c r="D125" s="251"/>
      <c r="E125" s="251"/>
      <c r="F125" s="251"/>
      <c r="G125" s="251"/>
      <c r="H125" s="251"/>
      <c r="I125" s="251"/>
      <c r="J125" s="251" t="s">
        <v>332</v>
      </c>
      <c r="K125" s="253">
        <f>SUMIFS($AG$3:$AG$47,$T$3:$T$47,"3-х кол.х.",$F$3:$F$47,19)</f>
        <v>0</v>
      </c>
      <c r="L125" s="254"/>
      <c r="M125" s="254">
        <f>Прайс!$G$20</f>
        <v>5210</v>
      </c>
      <c r="N125" s="254">
        <f t="shared" si="2"/>
        <v>0</v>
      </c>
      <c r="O125" s="254">
        <f>SUMIFS($Y$3:$Y$47,$T$3:$T$47,"3-х кол.х.",$F$4:$F$48,19)</f>
        <v>0</v>
      </c>
      <c r="P125" s="255"/>
      <c r="Q125" s="256"/>
      <c r="R125" s="257"/>
      <c r="S125" s="255"/>
      <c r="T125" s="255"/>
      <c r="U125" s="255"/>
      <c r="AF125" s="259"/>
      <c r="AG125" s="259"/>
      <c r="AH125" s="259"/>
      <c r="AI125" s="259"/>
      <c r="AJ125" s="259"/>
      <c r="AK125" s="259"/>
      <c r="AL125" s="259"/>
      <c r="AM125" s="259"/>
      <c r="AN125" s="259"/>
      <c r="AO125" s="259"/>
      <c r="AP125" s="260"/>
    </row>
    <row r="126" spans="2:42" s="258" customFormat="1" ht="15.75" x14ac:dyDescent="0.25">
      <c r="B126" s="251"/>
      <c r="C126" s="251" t="s">
        <v>427</v>
      </c>
      <c r="D126" s="251"/>
      <c r="E126" s="251"/>
      <c r="F126" s="251"/>
      <c r="G126" s="251"/>
      <c r="H126" s="251"/>
      <c r="I126" s="251"/>
      <c r="J126" s="208" t="s">
        <v>332</v>
      </c>
      <c r="K126" s="253">
        <f>SUMIFS($AG$3:$AG$47,$T$3:$T$47,"3-х кол.х.",$F$3:$F$47,22)</f>
        <v>0</v>
      </c>
      <c r="L126" s="254"/>
      <c r="M126" s="254">
        <f>Прайс!$G$20+700</f>
        <v>5910</v>
      </c>
      <c r="N126" s="254">
        <f t="shared" si="2"/>
        <v>0</v>
      </c>
      <c r="O126" s="254"/>
      <c r="P126" s="255"/>
      <c r="Q126" s="256"/>
      <c r="R126" s="257"/>
      <c r="S126" s="255"/>
      <c r="T126" s="255"/>
      <c r="U126" s="255"/>
      <c r="AF126" s="259"/>
      <c r="AG126" s="259"/>
      <c r="AH126" s="259"/>
      <c r="AI126" s="259"/>
      <c r="AJ126" s="259"/>
      <c r="AK126" s="259"/>
      <c r="AL126" s="259"/>
      <c r="AM126" s="259"/>
      <c r="AN126" s="259"/>
      <c r="AO126" s="259"/>
      <c r="AP126" s="260"/>
    </row>
    <row r="127" spans="2:42" ht="15.75" x14ac:dyDescent="0.25">
      <c r="B127" s="208"/>
      <c r="C127" s="208" t="s">
        <v>224</v>
      </c>
      <c r="D127" s="208"/>
      <c r="E127" s="208"/>
      <c r="F127" s="208"/>
      <c r="G127" s="208"/>
      <c r="H127" s="208"/>
      <c r="I127" s="208"/>
      <c r="J127" s="208" t="s">
        <v>332</v>
      </c>
      <c r="K127" s="219">
        <f>SUMIFS($AG$3:$AG$47,$T$3:$T$47,"Фотодрук",$F$3:$F$47,16)+SUMIFS($AG$3:$AG$47,$T$3:$T$47,"Фотодрук",$F$3:$F$47,10)+SUMIFS($AG$3:$AG$47,$T$3:$T$47,"Фотодрук",$F$3:$F$47,4)+SUMIFS($AG$3:$AG$47,$T$3:$T$47,"Фотодрук",$F$3:$F$47,6)+SUMIFS($AG$3:$AG$47,$T$3:$T$47,"Фотодрук",$F$3:$F$47,8)</f>
        <v>0</v>
      </c>
      <c r="L127" s="220"/>
      <c r="M127" s="220">
        <f>Прайс!$F$21</f>
        <v>5910</v>
      </c>
      <c r="N127" s="221">
        <f t="shared" si="2"/>
        <v>0</v>
      </c>
      <c r="O127" s="220">
        <f>SUMIFS($X$3:$X$47,$T$3:$T$47,"Фотодрук",$F$3:$F$47,16)+SUMIFS($X$3:$X$47,$T$3:$T$47,"Фотодрук",$F$3:$F$47,4)+SUMIFS($X$3:$X$47,$T$3:$T$47,"Фотодрук",$F$3:$F$47,6)+SUMIFS($X$3:$X$47,$T$3:$T$47,"Фотодрук",$F$3:$F$47,8)+SUMIFS($X$3:$X$47,$T$3:$T$47,"Фотодрук",$F$3:$F$47,10)</f>
        <v>0</v>
      </c>
      <c r="P127" s="189"/>
      <c r="Q127" s="125"/>
      <c r="R127" s="188"/>
      <c r="S127" s="189"/>
      <c r="T127" s="189"/>
      <c r="U127" s="189"/>
      <c r="AF127" s="213"/>
      <c r="AG127" s="213"/>
      <c r="AH127" s="213"/>
      <c r="AI127" s="213"/>
      <c r="AJ127" s="213"/>
      <c r="AK127" s="213"/>
      <c r="AL127" s="213"/>
      <c r="AM127" s="213"/>
      <c r="AN127" s="213"/>
      <c r="AO127" s="213"/>
      <c r="AP127" s="214"/>
    </row>
    <row r="128" spans="2:42" ht="15.75" x14ac:dyDescent="0.25">
      <c r="B128" s="208"/>
      <c r="C128" s="208" t="s">
        <v>225</v>
      </c>
      <c r="D128" s="208"/>
      <c r="E128" s="208"/>
      <c r="F128" s="208"/>
      <c r="G128" s="208"/>
      <c r="H128" s="208"/>
      <c r="I128" s="208"/>
      <c r="J128" s="208" t="s">
        <v>332</v>
      </c>
      <c r="K128" s="219">
        <f>SUMIFS($AG$3:$AG$47,$T$3:$T$47,"Фотодрук",$F$3:$F$47,19)</f>
        <v>0</v>
      </c>
      <c r="L128" s="220"/>
      <c r="M128" s="220">
        <f>Прайс!$G$21</f>
        <v>5980</v>
      </c>
      <c r="N128" s="221">
        <f t="shared" si="2"/>
        <v>0</v>
      </c>
      <c r="O128" s="220">
        <f>SUMIFS($Y$3:$Y$47,$T$3:$T$47,"Фотодрук",$F$3:$F$47,19)</f>
        <v>0</v>
      </c>
      <c r="P128" s="189"/>
      <c r="Q128" s="125"/>
      <c r="R128" s="188"/>
      <c r="S128" s="189"/>
      <c r="T128" s="189"/>
      <c r="U128" s="189"/>
      <c r="AF128" s="213"/>
      <c r="AG128" s="213"/>
      <c r="AH128" s="213"/>
      <c r="AI128" s="213"/>
      <c r="AJ128" s="213"/>
      <c r="AK128" s="213"/>
      <c r="AL128" s="213"/>
      <c r="AM128" s="213"/>
      <c r="AN128" s="213"/>
      <c r="AO128" s="213"/>
      <c r="AP128" s="214"/>
    </row>
    <row r="129" spans="2:42" ht="15.75" x14ac:dyDescent="0.25">
      <c r="B129" s="208"/>
      <c r="C129" s="208" t="s">
        <v>428</v>
      </c>
      <c r="D129" s="208"/>
      <c r="E129" s="208"/>
      <c r="F129" s="208"/>
      <c r="G129" s="208"/>
      <c r="H129" s="208"/>
      <c r="I129" s="208"/>
      <c r="J129" s="208" t="s">
        <v>332</v>
      </c>
      <c r="K129" s="219">
        <f>SUMIFS($AG$3:$AG$47,$T$3:$T$47,"Фотодрук",$F$3:$F$47,22)</f>
        <v>0</v>
      </c>
      <c r="L129" s="220"/>
      <c r="M129" s="220">
        <f>Прайс!$G$21+700</f>
        <v>6680</v>
      </c>
      <c r="N129" s="221">
        <f t="shared" si="2"/>
        <v>0</v>
      </c>
      <c r="O129" s="220"/>
      <c r="P129" s="189"/>
      <c r="Q129" s="125"/>
      <c r="R129" s="188"/>
      <c r="S129" s="189"/>
      <c r="T129" s="189"/>
      <c r="U129" s="189"/>
      <c r="AF129" s="213"/>
      <c r="AG129" s="213"/>
      <c r="AH129" s="213"/>
      <c r="AI129" s="213"/>
      <c r="AJ129" s="213"/>
      <c r="AK129" s="213"/>
      <c r="AL129" s="213"/>
      <c r="AM129" s="213"/>
      <c r="AN129" s="213"/>
      <c r="AO129" s="213"/>
      <c r="AP129" s="214"/>
    </row>
    <row r="130" spans="2:42" s="258" customFormat="1" ht="15.75" x14ac:dyDescent="0.25">
      <c r="B130" s="251"/>
      <c r="C130" s="252" t="s">
        <v>244</v>
      </c>
      <c r="D130" s="251"/>
      <c r="E130" s="251"/>
      <c r="F130" s="251"/>
      <c r="G130" s="251"/>
      <c r="H130" s="251"/>
      <c r="I130" s="251"/>
      <c r="J130" s="251" t="s">
        <v>332</v>
      </c>
      <c r="K130" s="253">
        <f>SUMIFS($AG$52:$AG$56,$T$52:$T$56,"",$V$52:$V$56,"Матове",$F$52:$F$56,16)</f>
        <v>0</v>
      </c>
      <c r="L130" s="254"/>
      <c r="M130" s="254">
        <f>Прайс!$H$10</f>
        <v>4370</v>
      </c>
      <c r="N130" s="254">
        <f t="shared" si="2"/>
        <v>0</v>
      </c>
      <c r="O130" s="254">
        <f>SUMIFS($X$52:$X$56,$T$52:$T$56,"",$V$52:$V$56,"Матове",$F$52:$F$56,16)</f>
        <v>0</v>
      </c>
      <c r="P130" s="255"/>
      <c r="Q130" s="256"/>
      <c r="R130" s="257"/>
      <c r="S130" s="255"/>
      <c r="T130" s="255"/>
      <c r="U130" s="255"/>
      <c r="AF130" s="259"/>
      <c r="AG130" s="259"/>
      <c r="AH130" s="259"/>
      <c r="AI130" s="259"/>
      <c r="AJ130" s="259"/>
      <c r="AK130" s="259"/>
      <c r="AL130" s="259"/>
      <c r="AM130" s="259"/>
      <c r="AN130" s="259"/>
      <c r="AO130" s="259"/>
      <c r="AP130" s="260"/>
    </row>
    <row r="131" spans="2:42" s="258" customFormat="1" ht="15.75" x14ac:dyDescent="0.25">
      <c r="B131" s="251"/>
      <c r="C131" s="251" t="s">
        <v>245</v>
      </c>
      <c r="D131" s="251"/>
      <c r="E131" s="251"/>
      <c r="F131" s="251"/>
      <c r="G131" s="251"/>
      <c r="H131" s="251"/>
      <c r="I131" s="251"/>
      <c r="J131" s="251" t="s">
        <v>332</v>
      </c>
      <c r="K131" s="253">
        <f>SUMIFS($AG$52:$AG$56,$T$52:$T$56,"",$V$52:$V$56,"Матове",$F$52:$F$56,19)</f>
        <v>0</v>
      </c>
      <c r="L131" s="254"/>
      <c r="M131" s="254">
        <f>Прайс!$I$10</f>
        <v>4440</v>
      </c>
      <c r="N131" s="254">
        <f t="shared" si="2"/>
        <v>0</v>
      </c>
      <c r="O131" s="254">
        <f>SUMIFS($Y$52:$Y$56,$T$52:$T$56,"",$V$52:$V$56,"Матове",$F$52:$F$56,19)</f>
        <v>0</v>
      </c>
      <c r="P131" s="255"/>
      <c r="Q131" s="256"/>
      <c r="R131" s="257"/>
      <c r="S131" s="255"/>
      <c r="T131" s="255"/>
      <c r="U131" s="255"/>
      <c r="AF131" s="259"/>
      <c r="AG131" s="259"/>
      <c r="AH131" s="259"/>
      <c r="AI131" s="259"/>
      <c r="AJ131" s="259"/>
      <c r="AK131" s="259"/>
      <c r="AL131" s="259"/>
      <c r="AM131" s="259"/>
      <c r="AN131" s="259"/>
      <c r="AO131" s="259"/>
      <c r="AP131" s="260"/>
    </row>
    <row r="132" spans="2:42" s="258" customFormat="1" ht="15.75" x14ac:dyDescent="0.25">
      <c r="B132" s="251"/>
      <c r="C132" s="251" t="s">
        <v>336</v>
      </c>
      <c r="D132" s="251"/>
      <c r="E132" s="251"/>
      <c r="F132" s="251"/>
      <c r="G132" s="251"/>
      <c r="H132" s="251"/>
      <c r="I132" s="251"/>
      <c r="J132" s="251" t="s">
        <v>332</v>
      </c>
      <c r="K132" s="253">
        <f>SUMIFS($AG$52:$AG$56,$W$52:$W$56,"Матове")</f>
        <v>0</v>
      </c>
      <c r="L132" s="254"/>
      <c r="M132" s="254">
        <f>Прайс!$H$10-500</f>
        <v>3870</v>
      </c>
      <c r="N132" s="254">
        <f t="shared" si="2"/>
        <v>0</v>
      </c>
      <c r="O132" s="254">
        <f>SUMIFS($Z$52:$Z$56,$W$52:$W$56,"Матове")</f>
        <v>0</v>
      </c>
      <c r="P132" s="255"/>
      <c r="Q132" s="256"/>
      <c r="R132" s="257"/>
      <c r="S132" s="255"/>
      <c r="T132" s="255"/>
      <c r="U132" s="255"/>
      <c r="AF132" s="259"/>
      <c r="AG132" s="259"/>
      <c r="AH132" s="259"/>
      <c r="AI132" s="259"/>
      <c r="AJ132" s="259"/>
      <c r="AK132" s="259"/>
      <c r="AL132" s="259"/>
      <c r="AM132" s="259"/>
      <c r="AN132" s="259"/>
      <c r="AO132" s="259"/>
      <c r="AP132" s="260"/>
    </row>
    <row r="133" spans="2:42" s="258" customFormat="1" ht="15.75" x14ac:dyDescent="0.25">
      <c r="B133" s="251"/>
      <c r="C133" s="252" t="s">
        <v>246</v>
      </c>
      <c r="D133" s="251"/>
      <c r="E133" s="251"/>
      <c r="F133" s="251"/>
      <c r="G133" s="251"/>
      <c r="H133" s="251"/>
      <c r="I133" s="251"/>
      <c r="J133" s="251" t="s">
        <v>332</v>
      </c>
      <c r="K133" s="253">
        <f>SUMIFS($AG$52:$AG$56,$T$52:$T$56,"",$V$52:$V$56,"Софт(TS)",$F$52:$F$56,16)</f>
        <v>0</v>
      </c>
      <c r="L133" s="254"/>
      <c r="M133" s="254">
        <f>Прайс!$H$11</f>
        <v>4370</v>
      </c>
      <c r="N133" s="254">
        <f t="shared" si="2"/>
        <v>0</v>
      </c>
      <c r="O133" s="254">
        <f>SUMIFS($X$52:$X$56,$T$52:$T$56,"",$V$52:$V$56,"Софт(TS)",$F$52:$F$56,16)</f>
        <v>0</v>
      </c>
      <c r="P133" s="255"/>
      <c r="Q133" s="256"/>
      <c r="R133" s="257"/>
      <c r="S133" s="255"/>
      <c r="T133" s="255"/>
      <c r="U133" s="255"/>
      <c r="AF133" s="259"/>
      <c r="AG133" s="259"/>
      <c r="AH133" s="259"/>
      <c r="AI133" s="259"/>
      <c r="AJ133" s="259"/>
      <c r="AK133" s="259"/>
      <c r="AL133" s="259"/>
      <c r="AM133" s="259"/>
      <c r="AN133" s="259"/>
      <c r="AO133" s="259"/>
      <c r="AP133" s="260"/>
    </row>
    <row r="134" spans="2:42" s="258" customFormat="1" ht="15.75" x14ac:dyDescent="0.25">
      <c r="B134" s="251"/>
      <c r="C134" s="251" t="s">
        <v>247</v>
      </c>
      <c r="D134" s="251"/>
      <c r="E134" s="251"/>
      <c r="F134" s="251"/>
      <c r="G134" s="251"/>
      <c r="H134" s="251"/>
      <c r="I134" s="251"/>
      <c r="J134" s="251" t="s">
        <v>332</v>
      </c>
      <c r="K134" s="253">
        <f>SUMIFS($AG$52:$AG$56,$T$52:$T$56,"",$V$52:$V$56,"Софт(TS)",$F$52:$F$56,19)</f>
        <v>0</v>
      </c>
      <c r="L134" s="254"/>
      <c r="M134" s="254">
        <f>Прайс!$I$11</f>
        <v>4440</v>
      </c>
      <c r="N134" s="254">
        <f t="shared" si="2"/>
        <v>0</v>
      </c>
      <c r="O134" s="254">
        <f>SUMIFS($Y$52:$Y$56,$T$52:$T$56,"",$V$52:$V$56,"Софт(TS)",F52:F56,19)</f>
        <v>0</v>
      </c>
      <c r="P134" s="255"/>
      <c r="Q134" s="256"/>
      <c r="R134" s="257"/>
      <c r="S134" s="255"/>
      <c r="T134" s="255"/>
      <c r="U134" s="255"/>
      <c r="AF134" s="259"/>
      <c r="AG134" s="259"/>
      <c r="AH134" s="259"/>
      <c r="AI134" s="259"/>
      <c r="AJ134" s="259"/>
      <c r="AK134" s="259"/>
      <c r="AL134" s="259"/>
      <c r="AM134" s="259"/>
      <c r="AN134" s="259"/>
      <c r="AO134" s="259"/>
      <c r="AP134" s="260"/>
    </row>
    <row r="135" spans="2:42" s="258" customFormat="1" ht="15.75" x14ac:dyDescent="0.25">
      <c r="B135" s="251"/>
      <c r="C135" s="251" t="s">
        <v>337</v>
      </c>
      <c r="D135" s="251"/>
      <c r="E135" s="251"/>
      <c r="F135" s="251"/>
      <c r="G135" s="251"/>
      <c r="H135" s="251"/>
      <c r="I135" s="251"/>
      <c r="J135" s="251" t="s">
        <v>332</v>
      </c>
      <c r="K135" s="253">
        <f>SUMIFS($AG$52:$AG$56,$V$52:$V$56,"Софт(TS)")</f>
        <v>0</v>
      </c>
      <c r="L135" s="254"/>
      <c r="M135" s="254">
        <f>Прайс!$H$11-500</f>
        <v>3870</v>
      </c>
      <c r="N135" s="254">
        <f t="shared" si="2"/>
        <v>0</v>
      </c>
      <c r="O135" s="254">
        <f>SUMIFS($Z$52:$Z$56,$W$52:$W$56,"Софт(TS)")</f>
        <v>0</v>
      </c>
      <c r="P135" s="255"/>
      <c r="Q135" s="256"/>
      <c r="R135" s="257"/>
      <c r="S135" s="255"/>
      <c r="T135" s="255"/>
      <c r="U135" s="255"/>
      <c r="AF135" s="259"/>
      <c r="AG135" s="259"/>
      <c r="AH135" s="259"/>
      <c r="AI135" s="259"/>
      <c r="AJ135" s="259"/>
      <c r="AK135" s="259"/>
      <c r="AL135" s="259"/>
      <c r="AM135" s="259"/>
      <c r="AN135" s="259"/>
      <c r="AO135" s="259"/>
      <c r="AP135" s="260"/>
    </row>
    <row r="136" spans="2:42" ht="15.75" x14ac:dyDescent="0.25">
      <c r="B136" s="208"/>
      <c r="C136" s="159" t="s">
        <v>248</v>
      </c>
      <c r="D136" s="208"/>
      <c r="E136" s="208"/>
      <c r="F136" s="208"/>
      <c r="G136" s="208"/>
      <c r="H136" s="208"/>
      <c r="I136" s="208"/>
      <c r="J136" s="208" t="s">
        <v>332</v>
      </c>
      <c r="K136" s="222">
        <f>SUMIFS($AG$52:$AG$56,$T$52:$T$56,"",$V$52:$V$56,"Глянець",$F$52:$F$56,16)</f>
        <v>0</v>
      </c>
      <c r="L136" s="223"/>
      <c r="M136" s="223">
        <f>Прайс!$H$12</f>
        <v>4860</v>
      </c>
      <c r="N136" s="221">
        <f t="shared" si="2"/>
        <v>0</v>
      </c>
      <c r="O136" s="223">
        <f>SUMIFS($X$52:$X$56,$T$52:$T$56,"",$V$52:$V$56,"Глянець",$F$52:$F$56,16)</f>
        <v>0</v>
      </c>
      <c r="P136" s="189"/>
      <c r="Q136" s="125"/>
      <c r="R136" s="188"/>
      <c r="S136" s="189"/>
      <c r="T136" s="189"/>
      <c r="U136" s="189"/>
      <c r="AF136" s="213"/>
      <c r="AG136" s="213"/>
      <c r="AH136" s="213"/>
      <c r="AI136" s="213"/>
      <c r="AJ136" s="213"/>
      <c r="AK136" s="213"/>
      <c r="AL136" s="213"/>
      <c r="AM136" s="213"/>
      <c r="AN136" s="213"/>
      <c r="AO136" s="213"/>
      <c r="AP136" s="214"/>
    </row>
    <row r="137" spans="2:42" ht="15.75" x14ac:dyDescent="0.25">
      <c r="B137" s="208"/>
      <c r="C137" s="208" t="s">
        <v>249</v>
      </c>
      <c r="D137" s="208"/>
      <c r="E137" s="208"/>
      <c r="F137" s="208"/>
      <c r="G137" s="208"/>
      <c r="H137" s="208"/>
      <c r="I137" s="208"/>
      <c r="J137" s="208" t="s">
        <v>332</v>
      </c>
      <c r="K137" s="222">
        <f>SUMIFS($AG$52:$AG$56,$T$52:$T$56,"",$V$52:$V$56,"Глянець",$F$52:$F$56,19)</f>
        <v>0</v>
      </c>
      <c r="L137" s="223"/>
      <c r="M137" s="223">
        <f>Прайс!$I$12</f>
        <v>4930</v>
      </c>
      <c r="N137" s="221">
        <f t="shared" si="2"/>
        <v>0</v>
      </c>
      <c r="O137" s="223">
        <f>SUMIFS($Y$52:$Y$56,$T$52:$T$56,"",$V$52:$V$56,"Глянець",$F$52:$F$56,19)</f>
        <v>0</v>
      </c>
      <c r="P137" s="189"/>
      <c r="Q137" s="125"/>
      <c r="R137" s="188"/>
      <c r="S137" s="189"/>
      <c r="T137" s="189"/>
      <c r="U137" s="189"/>
      <c r="AF137" s="213"/>
      <c r="AG137" s="213"/>
      <c r="AH137" s="213"/>
      <c r="AI137" s="213"/>
      <c r="AJ137" s="213"/>
      <c r="AK137" s="213"/>
      <c r="AL137" s="213"/>
      <c r="AM137" s="213"/>
      <c r="AN137" s="213"/>
      <c r="AO137" s="213"/>
      <c r="AP137" s="214"/>
    </row>
    <row r="138" spans="2:42" ht="15.75" x14ac:dyDescent="0.25">
      <c r="B138" s="208"/>
      <c r="C138" s="159" t="s">
        <v>338</v>
      </c>
      <c r="D138" s="208"/>
      <c r="E138" s="208"/>
      <c r="F138" s="208"/>
      <c r="G138" s="208"/>
      <c r="H138" s="208"/>
      <c r="I138" s="208"/>
      <c r="J138" s="208" t="s">
        <v>332</v>
      </c>
      <c r="K138" s="222">
        <f>SUMIFS($AG$52:$AG$56,$W$52:$W$56,"Глянець")</f>
        <v>0</v>
      </c>
      <c r="L138" s="223"/>
      <c r="M138" s="223">
        <f>Прайс!$H$12-500</f>
        <v>4360</v>
      </c>
      <c r="N138" s="221">
        <f t="shared" si="2"/>
        <v>0</v>
      </c>
      <c r="O138" s="220">
        <f>SUMIFS($Z$52:$Z$56,$W$52:$W$56,"Глянець")</f>
        <v>0</v>
      </c>
      <c r="P138" s="189"/>
      <c r="Q138" s="125"/>
      <c r="R138" s="188"/>
      <c r="S138" s="189"/>
      <c r="T138" s="189"/>
      <c r="U138" s="189"/>
      <c r="AF138" s="213"/>
      <c r="AG138" s="213"/>
      <c r="AH138" s="213"/>
      <c r="AI138" s="213"/>
      <c r="AJ138" s="213"/>
      <c r="AK138" s="213"/>
      <c r="AL138" s="213"/>
      <c r="AM138" s="213"/>
      <c r="AN138" s="213"/>
      <c r="AO138" s="213"/>
      <c r="AP138" s="214"/>
    </row>
    <row r="139" spans="2:42" s="258" customFormat="1" ht="15.75" x14ac:dyDescent="0.25">
      <c r="B139" s="251"/>
      <c r="C139" s="251" t="s">
        <v>384</v>
      </c>
      <c r="D139" s="251"/>
      <c r="E139" s="251"/>
      <c r="F139" s="251"/>
      <c r="G139" s="251"/>
      <c r="H139" s="251"/>
      <c r="I139" s="251"/>
      <c r="J139" s="251" t="s">
        <v>332</v>
      </c>
      <c r="K139" s="253">
        <f>SUMIFS($AG$52:$AG$56,$T$52:$T$56,"Перл.ср.",$F$52:$F$56,16)+SUMIFS($AG$52:$AG$56,$T$52:$T$56,"Перл.зол.",$F$52:$F$56,16)</f>
        <v>0</v>
      </c>
      <c r="L139" s="254"/>
      <c r="M139" s="254">
        <f>Прайс!$H$13</f>
        <v>5070</v>
      </c>
      <c r="N139" s="254">
        <f t="shared" si="2"/>
        <v>0</v>
      </c>
      <c r="O139" s="254"/>
      <c r="P139" s="255"/>
      <c r="Q139" s="256"/>
      <c r="R139" s="257"/>
      <c r="S139" s="255"/>
      <c r="T139" s="255"/>
      <c r="U139" s="255"/>
      <c r="AF139" s="259"/>
      <c r="AG139" s="259"/>
      <c r="AH139" s="259"/>
      <c r="AI139" s="259"/>
      <c r="AJ139" s="259"/>
      <c r="AK139" s="259"/>
      <c r="AL139" s="259"/>
      <c r="AM139" s="259"/>
      <c r="AN139" s="259"/>
      <c r="AO139" s="259"/>
      <c r="AP139" s="260"/>
    </row>
    <row r="140" spans="2:42" s="258" customFormat="1" ht="15.75" x14ac:dyDescent="0.25">
      <c r="B140" s="251"/>
      <c r="C140" s="251" t="s">
        <v>385</v>
      </c>
      <c r="D140" s="251"/>
      <c r="E140" s="251"/>
      <c r="F140" s="251"/>
      <c r="G140" s="251"/>
      <c r="H140" s="251"/>
      <c r="I140" s="251"/>
      <c r="J140" s="251" t="s">
        <v>332</v>
      </c>
      <c r="K140" s="253">
        <f>SUMIFS($AG$52:$AG$56,$T$52:$T$56,"Перл.ср.",$F$52:$F$56,19)+SUMIFS($AG$52:$AG$56,$T$52:$T$56,"Перл.зол.",$F$52:$F$56,19)</f>
        <v>0</v>
      </c>
      <c r="L140" s="254"/>
      <c r="M140" s="254">
        <f>Прайс!$I$13</f>
        <v>5140</v>
      </c>
      <c r="N140" s="254">
        <f t="shared" si="2"/>
        <v>0</v>
      </c>
      <c r="O140" s="254"/>
      <c r="P140" s="255"/>
      <c r="Q140" s="256"/>
      <c r="R140" s="257"/>
      <c r="S140" s="255"/>
      <c r="T140" s="255"/>
      <c r="U140" s="255"/>
      <c r="AF140" s="259"/>
      <c r="AG140" s="259"/>
      <c r="AH140" s="259"/>
      <c r="AI140" s="259"/>
      <c r="AJ140" s="259"/>
      <c r="AK140" s="259"/>
      <c r="AL140" s="259"/>
      <c r="AM140" s="259"/>
      <c r="AN140" s="259"/>
      <c r="AO140" s="259"/>
      <c r="AP140" s="260"/>
    </row>
    <row r="141" spans="2:42" s="258" customFormat="1" ht="15.75" x14ac:dyDescent="0.25">
      <c r="B141" s="251"/>
      <c r="C141" s="251" t="s">
        <v>386</v>
      </c>
      <c r="D141" s="251"/>
      <c r="E141" s="251"/>
      <c r="F141" s="251"/>
      <c r="G141" s="251"/>
      <c r="H141" s="251"/>
      <c r="I141" s="251"/>
      <c r="J141" s="251" t="s">
        <v>332</v>
      </c>
      <c r="K141" s="253"/>
      <c r="L141" s="254"/>
      <c r="M141" s="254">
        <f>Прайс!$H$13-500</f>
        <v>4570</v>
      </c>
      <c r="N141" s="254">
        <f t="shared" si="2"/>
        <v>0</v>
      </c>
      <c r="O141" s="254"/>
      <c r="P141" s="255"/>
      <c r="Q141" s="256"/>
      <c r="R141" s="257"/>
      <c r="S141" s="255"/>
      <c r="T141" s="255"/>
      <c r="U141" s="255"/>
      <c r="AF141" s="259"/>
      <c r="AG141" s="259"/>
      <c r="AH141" s="259"/>
      <c r="AI141" s="259"/>
      <c r="AJ141" s="259"/>
      <c r="AK141" s="259"/>
      <c r="AL141" s="259"/>
      <c r="AM141" s="259"/>
      <c r="AN141" s="259"/>
      <c r="AO141" s="259"/>
      <c r="AP141" s="260"/>
    </row>
    <row r="142" spans="2:42" ht="15.75" x14ac:dyDescent="0.25">
      <c r="B142" s="208"/>
      <c r="C142" s="208" t="s">
        <v>387</v>
      </c>
      <c r="D142" s="208"/>
      <c r="E142" s="208"/>
      <c r="F142" s="208"/>
      <c r="G142" s="208"/>
      <c r="H142" s="208"/>
      <c r="I142" s="208"/>
      <c r="J142" s="208" t="s">
        <v>332</v>
      </c>
      <c r="K142" s="222">
        <f>SUMIFS($AG$52:$AG$56,$T$52:$T$56,"Гума",$F$52:$F$56,16)</f>
        <v>0</v>
      </c>
      <c r="L142" s="223"/>
      <c r="M142" s="223">
        <f>Прайс!$H$14</f>
        <v>4930</v>
      </c>
      <c r="N142" s="221">
        <f t="shared" si="2"/>
        <v>0</v>
      </c>
      <c r="O142" s="220"/>
      <c r="P142" s="189"/>
      <c r="Q142" s="125"/>
      <c r="R142" s="188"/>
      <c r="S142" s="189"/>
      <c r="T142" s="189"/>
      <c r="U142" s="189"/>
      <c r="AF142" s="213"/>
      <c r="AG142" s="213"/>
      <c r="AH142" s="213"/>
      <c r="AI142" s="213"/>
      <c r="AJ142" s="213"/>
      <c r="AK142" s="213"/>
      <c r="AL142" s="213"/>
      <c r="AM142" s="213"/>
      <c r="AN142" s="213"/>
      <c r="AO142" s="213"/>
      <c r="AP142" s="214"/>
    </row>
    <row r="143" spans="2:42" ht="15.75" x14ac:dyDescent="0.25">
      <c r="B143" s="208"/>
      <c r="C143" s="208" t="s">
        <v>388</v>
      </c>
      <c r="D143" s="208"/>
      <c r="E143" s="208"/>
      <c r="F143" s="208"/>
      <c r="G143" s="208"/>
      <c r="H143" s="208"/>
      <c r="I143" s="208"/>
      <c r="J143" s="208" t="s">
        <v>332</v>
      </c>
      <c r="K143" s="222">
        <f>SUMIFS($AG$52:$AG$56,$T$52:$T$56,"Гума",$F$52:$F$56,19)</f>
        <v>0</v>
      </c>
      <c r="L143" s="223"/>
      <c r="M143" s="223">
        <f>Прайс!$I$14</f>
        <v>5000</v>
      </c>
      <c r="N143" s="221">
        <f t="shared" si="2"/>
        <v>0</v>
      </c>
      <c r="O143" s="220"/>
      <c r="P143" s="189"/>
      <c r="Q143" s="125"/>
      <c r="R143" s="188"/>
      <c r="S143" s="189"/>
      <c r="T143" s="189"/>
      <c r="U143" s="189"/>
      <c r="AF143" s="213"/>
      <c r="AG143" s="213"/>
      <c r="AH143" s="213"/>
      <c r="AI143" s="213"/>
      <c r="AJ143" s="213"/>
      <c r="AK143" s="213"/>
      <c r="AL143" s="213"/>
      <c r="AM143" s="213"/>
      <c r="AN143" s="213"/>
      <c r="AO143" s="213"/>
      <c r="AP143" s="214"/>
    </row>
    <row r="144" spans="2:42" ht="15.75" x14ac:dyDescent="0.25">
      <c r="B144" s="208"/>
      <c r="C144" s="208" t="s">
        <v>389</v>
      </c>
      <c r="D144" s="208"/>
      <c r="E144" s="208"/>
      <c r="F144" s="208"/>
      <c r="G144" s="208"/>
      <c r="H144" s="208"/>
      <c r="I144" s="208"/>
      <c r="J144" s="208" t="s">
        <v>332</v>
      </c>
      <c r="K144" s="222"/>
      <c r="L144" s="223"/>
      <c r="M144" s="223">
        <f>Прайс!$H$13-500</f>
        <v>4570</v>
      </c>
      <c r="N144" s="221">
        <f t="shared" si="2"/>
        <v>0</v>
      </c>
      <c r="O144" s="220"/>
      <c r="P144" s="189"/>
      <c r="Q144" s="125"/>
      <c r="R144" s="188"/>
      <c r="S144" s="189"/>
      <c r="T144" s="189"/>
      <c r="U144" s="189"/>
      <c r="AF144" s="213"/>
      <c r="AG144" s="213"/>
      <c r="AH144" s="213"/>
      <c r="AI144" s="213"/>
      <c r="AJ144" s="213"/>
      <c r="AK144" s="213"/>
      <c r="AL144" s="213"/>
      <c r="AM144" s="213"/>
      <c r="AN144" s="213"/>
      <c r="AO144" s="213"/>
      <c r="AP144" s="214"/>
    </row>
    <row r="145" spans="2:42" s="258" customFormat="1" ht="15.75" x14ac:dyDescent="0.25">
      <c r="B145" s="251"/>
      <c r="C145" s="251" t="s">
        <v>390</v>
      </c>
      <c r="D145" s="251"/>
      <c r="E145" s="251"/>
      <c r="F145" s="251"/>
      <c r="G145" s="251"/>
      <c r="H145" s="251"/>
      <c r="I145" s="251"/>
      <c r="J145" s="251" t="s">
        <v>332</v>
      </c>
      <c r="K145" s="253">
        <f>SUMIFS($AG$52:$AG$56,$T$52:$T$56,"Металік",$F$52:$F$56,16)</f>
        <v>0</v>
      </c>
      <c r="L145" s="254"/>
      <c r="M145" s="254">
        <f>Прайс!$H$15</f>
        <v>5630</v>
      </c>
      <c r="N145" s="254">
        <f t="shared" si="2"/>
        <v>0</v>
      </c>
      <c r="O145" s="254"/>
      <c r="P145" s="255"/>
      <c r="Q145" s="256"/>
      <c r="R145" s="257"/>
      <c r="S145" s="255"/>
      <c r="T145" s="255"/>
      <c r="U145" s="255"/>
      <c r="AF145" s="259"/>
      <c r="AG145" s="259"/>
      <c r="AH145" s="259"/>
      <c r="AI145" s="259"/>
      <c r="AJ145" s="259"/>
      <c r="AK145" s="259"/>
      <c r="AL145" s="259"/>
      <c r="AM145" s="259"/>
      <c r="AN145" s="259"/>
      <c r="AO145" s="259"/>
      <c r="AP145" s="260"/>
    </row>
    <row r="146" spans="2:42" s="258" customFormat="1" ht="15.75" x14ac:dyDescent="0.25">
      <c r="B146" s="251"/>
      <c r="C146" s="251" t="s">
        <v>391</v>
      </c>
      <c r="D146" s="251"/>
      <c r="E146" s="251"/>
      <c r="F146" s="251"/>
      <c r="G146" s="251"/>
      <c r="H146" s="251"/>
      <c r="I146" s="251"/>
      <c r="J146" s="251" t="s">
        <v>332</v>
      </c>
      <c r="K146" s="253">
        <f>SUMIFS($AG$52:$AG$56,$T$52:$T$56,"Металік",$F$52:$F$56,19)</f>
        <v>0</v>
      </c>
      <c r="L146" s="254"/>
      <c r="M146" s="254">
        <f>Прайс!$I$15</f>
        <v>5700</v>
      </c>
      <c r="N146" s="254">
        <f t="shared" si="2"/>
        <v>0</v>
      </c>
      <c r="O146" s="254"/>
      <c r="P146" s="255"/>
      <c r="Q146" s="256"/>
      <c r="R146" s="257"/>
      <c r="S146" s="255"/>
      <c r="T146" s="255"/>
      <c r="U146" s="255"/>
      <c r="AF146" s="259"/>
      <c r="AG146" s="259"/>
      <c r="AH146" s="259"/>
      <c r="AI146" s="259"/>
      <c r="AJ146" s="259"/>
      <c r="AK146" s="259"/>
      <c r="AL146" s="259"/>
      <c r="AM146" s="259"/>
      <c r="AN146" s="259"/>
      <c r="AO146" s="259"/>
      <c r="AP146" s="260"/>
    </row>
    <row r="147" spans="2:42" s="258" customFormat="1" ht="15.75" x14ac:dyDescent="0.25">
      <c r="B147" s="251"/>
      <c r="C147" s="251" t="s">
        <v>392</v>
      </c>
      <c r="D147" s="251"/>
      <c r="E147" s="251"/>
      <c r="F147" s="251"/>
      <c r="G147" s="251"/>
      <c r="H147" s="251"/>
      <c r="I147" s="251"/>
      <c r="J147" s="251" t="s">
        <v>332</v>
      </c>
      <c r="K147" s="253"/>
      <c r="L147" s="254"/>
      <c r="M147" s="254">
        <f>Прайс!$H$15-500</f>
        <v>5130</v>
      </c>
      <c r="N147" s="254">
        <f t="shared" si="2"/>
        <v>0</v>
      </c>
      <c r="O147" s="254"/>
      <c r="P147" s="255"/>
      <c r="Q147" s="256"/>
      <c r="R147" s="257"/>
      <c r="S147" s="255"/>
      <c r="T147" s="255"/>
      <c r="U147" s="255"/>
      <c r="AF147" s="259"/>
      <c r="AG147" s="259"/>
      <c r="AH147" s="259"/>
      <c r="AI147" s="259"/>
      <c r="AJ147" s="259"/>
      <c r="AK147" s="259"/>
      <c r="AL147" s="259"/>
      <c r="AM147" s="259"/>
      <c r="AN147" s="259"/>
      <c r="AO147" s="259"/>
      <c r="AP147" s="260"/>
    </row>
    <row r="148" spans="2:42" ht="15.75" x14ac:dyDescent="0.25">
      <c r="B148" s="208"/>
      <c r="C148" s="208" t="s">
        <v>393</v>
      </c>
      <c r="D148" s="208"/>
      <c r="E148" s="208"/>
      <c r="F148" s="208"/>
      <c r="G148" s="208"/>
      <c r="H148" s="208"/>
      <c r="I148" s="208"/>
      <c r="J148" s="208" t="s">
        <v>332</v>
      </c>
      <c r="K148" s="222">
        <f>SUMIFS($AG$52:$AG$56,$T$52:$T$56,"Рідке скло",$F$52:$F$56,16)</f>
        <v>0</v>
      </c>
      <c r="L148" s="223"/>
      <c r="M148" s="223">
        <f>Прайс!$H$16</f>
        <v>5280</v>
      </c>
      <c r="N148" s="221">
        <f t="shared" si="2"/>
        <v>0</v>
      </c>
      <c r="O148" s="220"/>
      <c r="P148" s="189"/>
      <c r="Q148" s="125"/>
      <c r="R148" s="188"/>
      <c r="S148" s="189"/>
      <c r="T148" s="189"/>
      <c r="U148" s="189"/>
      <c r="AF148" s="213"/>
      <c r="AG148" s="213"/>
      <c r="AH148" s="213"/>
      <c r="AI148" s="213"/>
      <c r="AJ148" s="213"/>
      <c r="AK148" s="213"/>
      <c r="AL148" s="213"/>
      <c r="AM148" s="213"/>
      <c r="AN148" s="213"/>
      <c r="AO148" s="213"/>
      <c r="AP148" s="214"/>
    </row>
    <row r="149" spans="2:42" ht="15.75" x14ac:dyDescent="0.25">
      <c r="B149" s="208"/>
      <c r="C149" s="208" t="s">
        <v>394</v>
      </c>
      <c r="D149" s="208"/>
      <c r="E149" s="208"/>
      <c r="F149" s="208"/>
      <c r="G149" s="208"/>
      <c r="H149" s="208"/>
      <c r="I149" s="208"/>
      <c r="J149" s="208" t="s">
        <v>332</v>
      </c>
      <c r="K149" s="222">
        <f>SUMIFS($AG$52:$AG$56,$T$52:$T$56,"Рідке скло",$F$52:$F$56,19)</f>
        <v>0</v>
      </c>
      <c r="L149" s="223"/>
      <c r="M149" s="223">
        <f>Прайс!$I$16</f>
        <v>5350</v>
      </c>
      <c r="N149" s="221">
        <f t="shared" si="2"/>
        <v>0</v>
      </c>
      <c r="O149" s="220"/>
      <c r="P149" s="189"/>
      <c r="Q149" s="125"/>
      <c r="R149" s="188"/>
      <c r="S149" s="189"/>
      <c r="T149" s="189"/>
      <c r="U149" s="189"/>
      <c r="AF149" s="213"/>
      <c r="AG149" s="213"/>
      <c r="AH149" s="213"/>
      <c r="AI149" s="213"/>
      <c r="AJ149" s="213"/>
      <c r="AK149" s="213"/>
      <c r="AL149" s="213"/>
      <c r="AM149" s="213"/>
      <c r="AN149" s="213"/>
      <c r="AO149" s="213"/>
      <c r="AP149" s="214"/>
    </row>
    <row r="150" spans="2:42" ht="15.75" x14ac:dyDescent="0.25">
      <c r="B150" s="208"/>
      <c r="C150" s="208" t="s">
        <v>395</v>
      </c>
      <c r="D150" s="208"/>
      <c r="E150" s="208"/>
      <c r="F150" s="208"/>
      <c r="G150" s="208"/>
      <c r="H150" s="208"/>
      <c r="I150" s="208"/>
      <c r="J150" s="208" t="s">
        <v>332</v>
      </c>
      <c r="K150" s="222"/>
      <c r="L150" s="223"/>
      <c r="M150" s="223">
        <f>Прайс!$H$16-500</f>
        <v>4780</v>
      </c>
      <c r="N150" s="221">
        <f t="shared" si="2"/>
        <v>0</v>
      </c>
      <c r="O150" s="220"/>
      <c r="P150" s="189"/>
      <c r="Q150" s="125"/>
      <c r="R150" s="188"/>
      <c r="S150" s="189"/>
      <c r="T150" s="189"/>
      <c r="U150" s="189"/>
      <c r="AF150" s="213"/>
      <c r="AG150" s="213"/>
      <c r="AH150" s="213"/>
      <c r="AI150" s="213"/>
      <c r="AJ150" s="213"/>
      <c r="AK150" s="213"/>
      <c r="AL150" s="213"/>
      <c r="AM150" s="213"/>
      <c r="AN150" s="213"/>
      <c r="AO150" s="213"/>
      <c r="AP150" s="214"/>
    </row>
    <row r="151" spans="2:42" s="258" customFormat="1" ht="15.75" x14ac:dyDescent="0.25">
      <c r="B151" s="251"/>
      <c r="C151" s="251" t="s">
        <v>396</v>
      </c>
      <c r="D151" s="251"/>
      <c r="E151" s="251"/>
      <c r="F151" s="251"/>
      <c r="G151" s="251"/>
      <c r="H151" s="251"/>
      <c r="I151" s="251"/>
      <c r="J151" s="251" t="s">
        <v>332</v>
      </c>
      <c r="K151" s="253">
        <f>SUMIFS($AG$52:$AG$56,$T$52:$T$56,"Перли",$F$52:$F$56,16)+SUMIFS($AG$52:$AG$56,$T$52:$T$56,"Графіт",$F$52:$F$56,16)</f>
        <v>0</v>
      </c>
      <c r="L151" s="254"/>
      <c r="M151" s="254">
        <f>Прайс!$H$17</f>
        <v>5420</v>
      </c>
      <c r="N151" s="254">
        <f t="shared" si="2"/>
        <v>0</v>
      </c>
      <c r="O151" s="254"/>
      <c r="P151" s="255"/>
      <c r="Q151" s="256"/>
      <c r="R151" s="257"/>
      <c r="S151" s="255"/>
      <c r="T151" s="255"/>
      <c r="U151" s="255"/>
      <c r="AF151" s="259"/>
      <c r="AG151" s="259"/>
      <c r="AH151" s="259"/>
      <c r="AI151" s="259"/>
      <c r="AJ151" s="259"/>
      <c r="AK151" s="259"/>
      <c r="AL151" s="259"/>
      <c r="AM151" s="259"/>
      <c r="AN151" s="259"/>
      <c r="AO151" s="259"/>
      <c r="AP151" s="260"/>
    </row>
    <row r="152" spans="2:42" s="258" customFormat="1" ht="15.75" x14ac:dyDescent="0.25">
      <c r="B152" s="251"/>
      <c r="C152" s="251" t="s">
        <v>397</v>
      </c>
      <c r="D152" s="251"/>
      <c r="E152" s="251"/>
      <c r="F152" s="251"/>
      <c r="G152" s="251"/>
      <c r="H152" s="251"/>
      <c r="I152" s="251"/>
      <c r="J152" s="251" t="s">
        <v>332</v>
      </c>
      <c r="K152" s="253">
        <f>SUMIFS($AG$52:$AG$56,$T$52:$T$56,"Перли",$F$52:$F$56,19)+SUMIFS($AG$52:$AG$56,$T$52:$T$56,"Графіт",$F$52:$F$56,19)</f>
        <v>0</v>
      </c>
      <c r="L152" s="254"/>
      <c r="M152" s="254">
        <f>Прайс!$I$17</f>
        <v>5490</v>
      </c>
      <c r="N152" s="254">
        <f t="shared" si="2"/>
        <v>0</v>
      </c>
      <c r="O152" s="254"/>
      <c r="P152" s="255"/>
      <c r="Q152" s="256"/>
      <c r="R152" s="257"/>
      <c r="S152" s="255"/>
      <c r="T152" s="255"/>
      <c r="U152" s="255"/>
      <c r="AF152" s="259"/>
      <c r="AG152" s="259"/>
      <c r="AH152" s="259"/>
      <c r="AI152" s="259"/>
      <c r="AJ152" s="259"/>
      <c r="AK152" s="259"/>
      <c r="AL152" s="259"/>
      <c r="AM152" s="259"/>
      <c r="AN152" s="259"/>
      <c r="AO152" s="259"/>
      <c r="AP152" s="260"/>
    </row>
    <row r="153" spans="2:42" s="258" customFormat="1" ht="15.75" x14ac:dyDescent="0.25">
      <c r="B153" s="251"/>
      <c r="C153" s="251" t="s">
        <v>398</v>
      </c>
      <c r="D153" s="251"/>
      <c r="E153" s="251"/>
      <c r="F153" s="251"/>
      <c r="G153" s="251"/>
      <c r="H153" s="251"/>
      <c r="I153" s="251"/>
      <c r="J153" s="251" t="s">
        <v>332</v>
      </c>
      <c r="K153" s="253"/>
      <c r="L153" s="254"/>
      <c r="M153" s="254">
        <f>Прайс!$H$17-500</f>
        <v>4920</v>
      </c>
      <c r="N153" s="254">
        <f t="shared" si="2"/>
        <v>0</v>
      </c>
      <c r="O153" s="254"/>
      <c r="P153" s="255"/>
      <c r="Q153" s="256"/>
      <c r="R153" s="257"/>
      <c r="S153" s="255"/>
      <c r="T153" s="255"/>
      <c r="U153" s="255"/>
      <c r="AF153" s="259"/>
      <c r="AG153" s="259"/>
      <c r="AH153" s="259"/>
      <c r="AI153" s="259"/>
      <c r="AJ153" s="259"/>
      <c r="AK153" s="259"/>
      <c r="AL153" s="259"/>
      <c r="AM153" s="259"/>
      <c r="AN153" s="259"/>
      <c r="AO153" s="259"/>
      <c r="AP153" s="260"/>
    </row>
    <row r="154" spans="2:42" ht="15.75" x14ac:dyDescent="0.25">
      <c r="B154" s="208"/>
      <c r="C154" s="208" t="s">
        <v>399</v>
      </c>
      <c r="D154" s="208"/>
      <c r="E154" s="208"/>
      <c r="F154" s="208"/>
      <c r="G154" s="208"/>
      <c r="H154" s="208"/>
      <c r="I154" s="208"/>
      <c r="J154" s="208" t="s">
        <v>332</v>
      </c>
      <c r="K154" s="222">
        <f>SUMIFS($AG$52:$AG$56,$T$52:$T$56,"Зор.н.зол.",$F$52:$F$56,16)+SUMIFS($AG$52:$AG$56,$T$52:$T$56,"Зор.н.ср.",$F$52:$F$56,16)+SUMIFS($AG$52:$AG$56,$T$52:$T$56,"Зор.н.різн.",$F$52:$F$56,16)</f>
        <v>0</v>
      </c>
      <c r="L154" s="223"/>
      <c r="M154" s="223">
        <f>Прайс!$H$18</f>
        <v>5630</v>
      </c>
      <c r="N154" s="221">
        <f t="shared" si="2"/>
        <v>0</v>
      </c>
      <c r="O154" s="220"/>
      <c r="P154" s="189"/>
      <c r="Q154" s="125"/>
      <c r="R154" s="188"/>
      <c r="S154" s="189"/>
      <c r="T154" s="189"/>
      <c r="U154" s="189"/>
      <c r="AF154" s="213"/>
      <c r="AG154" s="213"/>
      <c r="AH154" s="213"/>
      <c r="AI154" s="213"/>
      <c r="AJ154" s="213"/>
      <c r="AK154" s="213"/>
      <c r="AL154" s="213"/>
      <c r="AM154" s="213"/>
      <c r="AN154" s="213"/>
      <c r="AO154" s="213"/>
      <c r="AP154" s="214"/>
    </row>
    <row r="155" spans="2:42" ht="15.75" x14ac:dyDescent="0.25">
      <c r="B155" s="208"/>
      <c r="C155" s="208" t="s">
        <v>400</v>
      </c>
      <c r="D155" s="208"/>
      <c r="E155" s="208"/>
      <c r="F155" s="208"/>
      <c r="G155" s="208"/>
      <c r="H155" s="208"/>
      <c r="I155" s="208"/>
      <c r="J155" s="208" t="s">
        <v>332</v>
      </c>
      <c r="K155" s="222">
        <f>SUMIFS($AG$52:$AG$56,$T$52:$T$56,"Зор.н.зол.",$F$52:$F$56,19)+SUMIFS($AG$52:$AG$56,$T$52:$T$56,"Зор.н.ср.",$F$52:$F$56,19)+SUMIFS($AG$52:$AG$56,$T$52:$T$56,"Зор.н.різн.",$F$52:$F$56,19)</f>
        <v>0</v>
      </c>
      <c r="L155" s="223"/>
      <c r="M155" s="223">
        <f>Прайс!$I$18</f>
        <v>5700</v>
      </c>
      <c r="N155" s="221">
        <f t="shared" si="2"/>
        <v>0</v>
      </c>
      <c r="O155" s="220"/>
      <c r="P155" s="189"/>
      <c r="Q155" s="125"/>
      <c r="R155" s="188"/>
      <c r="S155" s="189"/>
      <c r="T155" s="189"/>
      <c r="U155" s="189"/>
      <c r="AF155" s="213"/>
      <c r="AG155" s="213"/>
      <c r="AH155" s="213"/>
      <c r="AI155" s="213"/>
      <c r="AJ155" s="213"/>
      <c r="AK155" s="213"/>
      <c r="AL155" s="213"/>
      <c r="AM155" s="213"/>
      <c r="AN155" s="213"/>
      <c r="AO155" s="213"/>
      <c r="AP155" s="214"/>
    </row>
    <row r="156" spans="2:42" ht="21" customHeight="1" x14ac:dyDescent="0.25">
      <c r="B156" s="208"/>
      <c r="C156" s="208" t="s">
        <v>401</v>
      </c>
      <c r="D156" s="208"/>
      <c r="E156" s="208"/>
      <c r="F156" s="208"/>
      <c r="G156" s="208"/>
      <c r="H156" s="208"/>
      <c r="I156" s="208"/>
      <c r="J156" s="208" t="s">
        <v>332</v>
      </c>
      <c r="K156" s="222"/>
      <c r="L156" s="223"/>
      <c r="M156" s="223">
        <f>Прайс!$H$18-500</f>
        <v>5130</v>
      </c>
      <c r="N156" s="221">
        <f t="shared" si="2"/>
        <v>0</v>
      </c>
      <c r="O156" s="220"/>
      <c r="P156" s="189"/>
      <c r="Q156" s="125"/>
      <c r="R156" s="188"/>
      <c r="S156" s="189"/>
      <c r="T156" s="189"/>
      <c r="U156" s="189"/>
      <c r="AF156" s="213"/>
      <c r="AG156" s="213"/>
      <c r="AH156" s="213"/>
      <c r="AI156" s="213"/>
      <c r="AJ156" s="213"/>
      <c r="AK156" s="213"/>
      <c r="AL156" s="213"/>
      <c r="AM156" s="213"/>
      <c r="AN156" s="213"/>
      <c r="AO156" s="213"/>
      <c r="AP156" s="214"/>
    </row>
    <row r="157" spans="2:42" s="258" customFormat="1" ht="15.75" x14ac:dyDescent="0.25">
      <c r="B157" s="251"/>
      <c r="C157" s="251" t="s">
        <v>252</v>
      </c>
      <c r="D157" s="251"/>
      <c r="E157" s="251"/>
      <c r="F157" s="251"/>
      <c r="G157" s="251"/>
      <c r="H157" s="251"/>
      <c r="I157" s="251"/>
      <c r="J157" s="251" t="s">
        <v>332</v>
      </c>
      <c r="K157" s="253">
        <f>SUMIFS($AG$52:$AG$56,$T$52:$T$56,"2-х кол.х.",$F$52:$F$56,16)</f>
        <v>0</v>
      </c>
      <c r="L157" s="254"/>
      <c r="M157" s="254">
        <f>Прайс!$H$19</f>
        <v>6470</v>
      </c>
      <c r="N157" s="254">
        <f t="shared" si="2"/>
        <v>0</v>
      </c>
      <c r="O157" s="254">
        <f>SUMIFS($X$52:$X$56,$T$52:$T$56,"2-х кол.х.",$F$52:$F$56,16)</f>
        <v>0</v>
      </c>
      <c r="P157" s="255"/>
      <c r="Q157" s="256"/>
      <c r="R157" s="257"/>
      <c r="S157" s="255"/>
      <c r="T157" s="255"/>
      <c r="U157" s="255"/>
      <c r="AF157" s="259"/>
      <c r="AG157" s="259"/>
      <c r="AH157" s="259"/>
      <c r="AI157" s="259"/>
      <c r="AJ157" s="259"/>
      <c r="AK157" s="259"/>
      <c r="AL157" s="259"/>
      <c r="AM157" s="259"/>
      <c r="AN157" s="259"/>
      <c r="AO157" s="259"/>
      <c r="AP157" s="260"/>
    </row>
    <row r="158" spans="2:42" s="258" customFormat="1" ht="15.75" x14ac:dyDescent="0.25">
      <c r="B158" s="251"/>
      <c r="C158" s="251" t="s">
        <v>253</v>
      </c>
      <c r="D158" s="251"/>
      <c r="E158" s="251"/>
      <c r="F158" s="251"/>
      <c r="G158" s="251"/>
      <c r="H158" s="251"/>
      <c r="I158" s="251"/>
      <c r="J158" s="251" t="s">
        <v>332</v>
      </c>
      <c r="K158" s="253">
        <f>SUMIFS($AG$52:$AG$56,$T$52:$T$56,"2-х кол.х.",$F$52:$F$56,19)</f>
        <v>0</v>
      </c>
      <c r="L158" s="254"/>
      <c r="M158" s="254">
        <f>Прайс!$I$19</f>
        <v>6540</v>
      </c>
      <c r="N158" s="254">
        <f t="shared" si="2"/>
        <v>0</v>
      </c>
      <c r="O158" s="254">
        <f>SUMIFS($Y$52:$Y$56,$T$52:$T$56,"2-х кол.х.",$F$52:$F$56,19)</f>
        <v>0</v>
      </c>
      <c r="P158" s="255"/>
      <c r="Q158" s="256"/>
      <c r="R158" s="257"/>
      <c r="S158" s="255"/>
      <c r="T158" s="255"/>
      <c r="U158" s="255"/>
      <c r="AF158" s="259"/>
      <c r="AG158" s="259"/>
      <c r="AH158" s="259"/>
      <c r="AI158" s="259"/>
      <c r="AJ158" s="259"/>
      <c r="AK158" s="259"/>
      <c r="AL158" s="259"/>
      <c r="AM158" s="259"/>
      <c r="AN158" s="259"/>
      <c r="AO158" s="259"/>
      <c r="AP158" s="260"/>
    </row>
    <row r="159" spans="2:42" ht="15.75" x14ac:dyDescent="0.25">
      <c r="B159" s="208"/>
      <c r="C159" s="208" t="s">
        <v>254</v>
      </c>
      <c r="D159" s="208"/>
      <c r="E159" s="208"/>
      <c r="F159" s="208"/>
      <c r="G159" s="208"/>
      <c r="H159" s="208"/>
      <c r="I159" s="208"/>
      <c r="J159" s="208" t="s">
        <v>332</v>
      </c>
      <c r="K159" s="222">
        <f>SUMIFS($AG$52:$AG$56,$T$52:$T$56,"3-х кол.х.",$F$52:$F$56,16)</f>
        <v>0</v>
      </c>
      <c r="L159" s="223"/>
      <c r="M159" s="223">
        <f>Прайс!$H$20</f>
        <v>7030</v>
      </c>
      <c r="N159" s="221">
        <f t="shared" si="2"/>
        <v>0</v>
      </c>
      <c r="O159" s="223">
        <f>SUMIFS($X$52:$X$56,$T$52:$T$56,"3-х кол.х.",$F$52:$F$56,16)</f>
        <v>0</v>
      </c>
      <c r="P159" s="189"/>
      <c r="Q159" s="125"/>
      <c r="R159" s="188"/>
      <c r="S159" s="189"/>
      <c r="T159" s="189"/>
      <c r="U159" s="189"/>
      <c r="AF159" s="213"/>
      <c r="AG159" s="213"/>
      <c r="AH159" s="213"/>
      <c r="AI159" s="213"/>
      <c r="AJ159" s="213"/>
      <c r="AK159" s="213"/>
      <c r="AL159" s="213"/>
      <c r="AM159" s="213"/>
      <c r="AN159" s="213"/>
      <c r="AO159" s="213"/>
      <c r="AP159" s="214"/>
    </row>
    <row r="160" spans="2:42" ht="15.75" x14ac:dyDescent="0.25">
      <c r="B160" s="208"/>
      <c r="C160" s="208" t="s">
        <v>255</v>
      </c>
      <c r="D160" s="208"/>
      <c r="E160" s="208"/>
      <c r="F160" s="208"/>
      <c r="G160" s="208"/>
      <c r="H160" s="208"/>
      <c r="I160" s="208"/>
      <c r="J160" s="208" t="s">
        <v>332</v>
      </c>
      <c r="K160" s="222">
        <f>SUMIFS($AG$52:$AG$56,$T$52:$T$56,"3-х кол.х.",$F$52:$F$56,19)</f>
        <v>0</v>
      </c>
      <c r="L160" s="223"/>
      <c r="M160" s="223">
        <f>Прайс!$I$20</f>
        <v>7100</v>
      </c>
      <c r="N160" s="221">
        <f t="shared" si="2"/>
        <v>0</v>
      </c>
      <c r="O160" s="223">
        <f>SUMIFS($Y$52:$Y$56,$T$52:$T$56,"3-х кол.х.",$F$52:$F$56,19)</f>
        <v>0</v>
      </c>
      <c r="P160" s="189"/>
      <c r="Q160" s="125"/>
      <c r="R160" s="188"/>
      <c r="S160" s="189"/>
      <c r="T160" s="189"/>
      <c r="U160" s="189"/>
      <c r="AF160" s="213"/>
      <c r="AG160" s="213"/>
      <c r="AH160" s="213"/>
      <c r="AI160" s="213"/>
      <c r="AJ160" s="213"/>
      <c r="AK160" s="213"/>
      <c r="AL160" s="213"/>
      <c r="AM160" s="213"/>
      <c r="AN160" s="213"/>
      <c r="AO160" s="213"/>
      <c r="AP160" s="214"/>
    </row>
    <row r="161" spans="2:42" ht="15.75" x14ac:dyDescent="0.25">
      <c r="B161" s="208"/>
      <c r="C161" s="159" t="s">
        <v>329</v>
      </c>
      <c r="D161" s="208"/>
      <c r="E161" s="208"/>
      <c r="F161" s="208"/>
      <c r="G161" s="208"/>
      <c r="H161" s="208"/>
      <c r="I161" s="208"/>
      <c r="J161" s="208" t="s">
        <v>110</v>
      </c>
      <c r="K161" s="219">
        <f>SUMIF($H$3:$H$47,"Пряма без чверті",$E$3:$E$47)</f>
        <v>0</v>
      </c>
      <c r="L161" s="223"/>
      <c r="M161" s="223">
        <f>Прайс!$D$39</f>
        <v>160</v>
      </c>
      <c r="N161" s="221">
        <f t="shared" si="2"/>
        <v>0</v>
      </c>
      <c r="O161" s="220">
        <f>SUMIF($H$3:$H$47,"Пряма без чверті",$I$3:$I$47)</f>
        <v>0</v>
      </c>
      <c r="P161" s="189"/>
      <c r="Q161" s="125"/>
      <c r="R161" s="188"/>
      <c r="S161" s="189"/>
      <c r="T161" s="189"/>
      <c r="U161" s="189"/>
      <c r="AF161" s="213"/>
      <c r="AG161" s="213"/>
      <c r="AH161" s="213"/>
      <c r="AI161" s="213"/>
      <c r="AJ161" s="213"/>
      <c r="AK161" s="213"/>
      <c r="AL161" s="213"/>
      <c r="AM161" s="213"/>
      <c r="AN161" s="213"/>
      <c r="AO161" s="213"/>
      <c r="AP161" s="214"/>
    </row>
    <row r="162" spans="2:42" ht="15.75" x14ac:dyDescent="0.25">
      <c r="B162" s="208"/>
      <c r="C162" s="159" t="s">
        <v>330</v>
      </c>
      <c r="D162" s="208"/>
      <c r="E162" s="208"/>
      <c r="F162" s="208"/>
      <c r="G162" s="208"/>
      <c r="H162" s="208"/>
      <c r="I162" s="208"/>
      <c r="J162" s="208" t="s">
        <v>110</v>
      </c>
      <c r="K162" s="219">
        <f>SUMIF($H$3:$H$47,"Пряма з чвертю",$E$3:$E$47)</f>
        <v>0</v>
      </c>
      <c r="L162" s="223"/>
      <c r="M162" s="223">
        <f>Прайс!$D$39+Прайс!$D$42</f>
        <v>215</v>
      </c>
      <c r="N162" s="221">
        <f t="shared" si="2"/>
        <v>0</v>
      </c>
      <c r="O162" s="220">
        <f>SUMIF($H$3:$H$47,"Пряма з чвертю",$I$3:$I$47)</f>
        <v>0</v>
      </c>
      <c r="P162" s="189"/>
      <c r="Q162" s="125"/>
      <c r="R162" s="188"/>
      <c r="S162" s="189"/>
      <c r="T162" s="189"/>
      <c r="U162" s="189"/>
      <c r="AF162" s="213"/>
      <c r="AG162" s="213"/>
      <c r="AH162" s="213"/>
      <c r="AI162" s="213"/>
      <c r="AJ162" s="213"/>
      <c r="AK162" s="213"/>
      <c r="AL162" s="213"/>
      <c r="AM162" s="213"/>
      <c r="AN162" s="213"/>
      <c r="AO162" s="213"/>
      <c r="AP162" s="214"/>
    </row>
    <row r="163" spans="2:42" ht="15.75" x14ac:dyDescent="0.25">
      <c r="B163" s="208"/>
      <c r="C163" s="159" t="s">
        <v>339</v>
      </c>
      <c r="D163" s="208"/>
      <c r="E163" s="208"/>
      <c r="F163" s="208"/>
      <c r="G163" s="208"/>
      <c r="H163" s="208"/>
      <c r="I163" s="208"/>
      <c r="J163" s="208" t="s">
        <v>110</v>
      </c>
      <c r="K163" s="219">
        <f>SUMIFS($E$3:$E$47,$H$3:$H$47,"Шпрос без чверті",$C$3:$C$47,"&lt;1")+SUMIFS($E$3:$E$47,$H$3:$H$47,"Шпрос без чверті",$C$3:$C$47,"=1")</f>
        <v>0</v>
      </c>
      <c r="L163" s="223"/>
      <c r="M163" s="223">
        <f>Прайс!$D$40</f>
        <v>450</v>
      </c>
      <c r="N163" s="221">
        <f t="shared" si="2"/>
        <v>0</v>
      </c>
      <c r="O163" s="220">
        <f>SUMIFS($I$3:$I$47,$H$3:$H$47,"Шпрос без чверті",$C$3:$C$47,"&lt;1")</f>
        <v>0</v>
      </c>
      <c r="P163" s="189"/>
      <c r="Q163" s="125"/>
      <c r="R163" s="188"/>
      <c r="S163" s="189"/>
      <c r="T163" s="189"/>
      <c r="U163" s="189"/>
      <c r="AF163" s="213"/>
      <c r="AG163" s="213"/>
      <c r="AH163" s="213"/>
      <c r="AI163" s="213"/>
      <c r="AJ163" s="213"/>
      <c r="AK163" s="213"/>
      <c r="AL163" s="213"/>
      <c r="AM163" s="213"/>
      <c r="AN163" s="213"/>
      <c r="AO163" s="213"/>
      <c r="AP163" s="214"/>
    </row>
    <row r="164" spans="2:42" ht="15.75" x14ac:dyDescent="0.25">
      <c r="B164" s="208"/>
      <c r="C164" s="159" t="s">
        <v>340</v>
      </c>
      <c r="D164" s="208"/>
      <c r="E164" s="208"/>
      <c r="F164" s="208"/>
      <c r="G164" s="208"/>
      <c r="H164" s="208"/>
      <c r="I164" s="208"/>
      <c r="J164" s="208" t="s">
        <v>110</v>
      </c>
      <c r="K164" s="219">
        <f>SUMIFS($E$3:$E$47,$H$3:$H$47,"Шпрос з чвертю",$C$3:$C$47,"&lt;1")+SUMIFS($E$3:$E$47,$H$3:$H$47,"Шпрос з чвертю",$C$3:$C$47,"=1")</f>
        <v>0</v>
      </c>
      <c r="L164" s="223"/>
      <c r="M164" s="223">
        <f>Прайс!$D$40+Прайс!$D$43</f>
        <v>1050</v>
      </c>
      <c r="N164" s="221">
        <f t="shared" si="2"/>
        <v>0</v>
      </c>
      <c r="O164" s="220">
        <f>SUMIFS($I$3:$I$47,$H$3:$H$47,"Шпрос з чвертю",$C$3:$C$47,"&lt;1")</f>
        <v>0</v>
      </c>
      <c r="P164" s="189"/>
      <c r="Q164" s="125"/>
      <c r="R164" s="188"/>
      <c r="S164" s="189"/>
      <c r="T164" s="189"/>
      <c r="U164" s="189"/>
      <c r="AF164" s="213"/>
      <c r="AG164" s="213"/>
      <c r="AH164" s="213"/>
      <c r="AI164" s="213"/>
      <c r="AJ164" s="213"/>
      <c r="AK164" s="213"/>
      <c r="AL164" s="213"/>
      <c r="AM164" s="213"/>
      <c r="AN164" s="213"/>
      <c r="AO164" s="213"/>
      <c r="AP164" s="214"/>
    </row>
    <row r="165" spans="2:42" ht="15.75" x14ac:dyDescent="0.25">
      <c r="B165" s="208"/>
      <c r="C165" s="159" t="s">
        <v>341</v>
      </c>
      <c r="D165" s="208"/>
      <c r="E165" s="208"/>
      <c r="F165" s="208"/>
      <c r="G165" s="208"/>
      <c r="H165" s="208"/>
      <c r="I165" s="208"/>
      <c r="J165" s="208" t="s">
        <v>110</v>
      </c>
      <c r="K165" s="219">
        <f>SUMIFS($E$3:$E$47,$H$3:$H$47,"Шпрос без чверті",$C$3:$C$47,"&gt;1")</f>
        <v>0</v>
      </c>
      <c r="L165" s="223"/>
      <c r="M165" s="223">
        <f>Прайс!$F$40</f>
        <v>500</v>
      </c>
      <c r="N165" s="221">
        <f t="shared" si="2"/>
        <v>0</v>
      </c>
      <c r="O165" s="220">
        <f>SUMIFS($I$3:$I$47,$H$3:$H$47,"Шпрос без чверті",$C$3:$C$47,"&gt;1")</f>
        <v>0</v>
      </c>
      <c r="P165" s="189"/>
      <c r="Q165" s="125"/>
      <c r="R165" s="188"/>
      <c r="S165" s="189"/>
      <c r="T165" s="189"/>
      <c r="U165" s="189"/>
      <c r="AF165" s="213"/>
      <c r="AG165" s="213"/>
      <c r="AH165" s="213"/>
      <c r="AI165" s="213"/>
      <c r="AJ165" s="213"/>
      <c r="AK165" s="213"/>
      <c r="AL165" s="213"/>
      <c r="AM165" s="213"/>
      <c r="AN165" s="213"/>
      <c r="AO165" s="213"/>
      <c r="AP165" s="214"/>
    </row>
    <row r="166" spans="2:42" ht="15.75" x14ac:dyDescent="0.25">
      <c r="B166" s="208"/>
      <c r="C166" s="159" t="s">
        <v>342</v>
      </c>
      <c r="D166" s="208"/>
      <c r="E166" s="208"/>
      <c r="F166" s="208"/>
      <c r="G166" s="208"/>
      <c r="H166" s="208"/>
      <c r="I166" s="208"/>
      <c r="J166" s="208" t="s">
        <v>110</v>
      </c>
      <c r="K166" s="219">
        <f>SUMIFS($E$4:$E$48,$J$4:$J$48,"Шпрос з чвертю",$C$4:$C$48,"&gt;1")</f>
        <v>0</v>
      </c>
      <c r="L166" s="223"/>
      <c r="M166" s="223">
        <f>Прайс!$F$40+Прайс!$D$43</f>
        <v>1100</v>
      </c>
      <c r="N166" s="221">
        <f t="shared" si="2"/>
        <v>0</v>
      </c>
      <c r="O166" s="220">
        <f>SUMIFS($I$3:$I$47,$H$3:$H$47,"Шпрос з чвертю",$C$3:$C$47,"&gt;1")</f>
        <v>0</v>
      </c>
      <c r="P166" s="189"/>
      <c r="Q166" s="125"/>
      <c r="R166" s="188"/>
      <c r="S166" s="189"/>
      <c r="T166" s="189"/>
      <c r="U166" s="189"/>
      <c r="AF166" s="213"/>
      <c r="AG166" s="213"/>
      <c r="AH166" s="213"/>
      <c r="AI166" s="213"/>
      <c r="AJ166" s="213"/>
      <c r="AK166" s="213"/>
      <c r="AL166" s="213"/>
      <c r="AM166" s="213"/>
      <c r="AN166" s="213"/>
      <c r="AO166" s="213"/>
      <c r="AP166" s="214"/>
    </row>
    <row r="167" spans="2:42" ht="15.75" x14ac:dyDescent="0.25">
      <c r="B167" s="208"/>
      <c r="C167" s="159" t="s">
        <v>343</v>
      </c>
      <c r="D167" s="208"/>
      <c r="E167" s="208"/>
      <c r="F167" s="208"/>
      <c r="G167" s="208"/>
      <c r="H167" s="208"/>
      <c r="I167" s="208"/>
      <c r="J167" s="224" t="s">
        <v>110</v>
      </c>
      <c r="K167" s="219">
        <f>SUM(H52:H56)</f>
        <v>0</v>
      </c>
      <c r="L167" s="223"/>
      <c r="M167" s="223">
        <f>Прайс!$D$41</f>
        <v>300</v>
      </c>
      <c r="N167" s="221">
        <f t="shared" si="2"/>
        <v>0</v>
      </c>
      <c r="O167" s="220">
        <f>SUM(I52:I56)</f>
        <v>0</v>
      </c>
      <c r="P167" s="189"/>
      <c r="Q167" s="125"/>
      <c r="R167" s="188"/>
      <c r="S167" s="189"/>
      <c r="T167" s="189"/>
      <c r="U167" s="189"/>
      <c r="AF167" s="213"/>
      <c r="AG167" s="213"/>
      <c r="AH167" s="213"/>
      <c r="AI167" s="213"/>
      <c r="AJ167" s="213"/>
      <c r="AK167" s="213"/>
      <c r="AL167" s="213"/>
      <c r="AM167" s="213"/>
      <c r="AN167" s="213"/>
      <c r="AO167" s="213"/>
      <c r="AP167" s="214"/>
    </row>
    <row r="168" spans="2:42" ht="15.75" x14ac:dyDescent="0.25">
      <c r="B168" s="208"/>
      <c r="C168" s="159" t="s">
        <v>258</v>
      </c>
      <c r="D168" s="208"/>
      <c r="E168" s="208"/>
      <c r="F168" s="208"/>
      <c r="G168" s="208"/>
      <c r="H168" s="208"/>
      <c r="I168" s="208"/>
      <c r="J168" s="224" t="s">
        <v>109</v>
      </c>
      <c r="K168" s="219">
        <f>SUMIF($K$3:$K$47,"J № 1",$N$3:$N$47)+SUMIF($K$3:$K$47,"J № 2",$N$3:$N$47)+SUMIF($K$3:$K$47,"J № 2L",$N$3:$N$47)+SUMIF($K$3:$K$47,"J № 2R",$N$3:$N$47)</f>
        <v>0</v>
      </c>
      <c r="L168" s="223"/>
      <c r="M168" s="223">
        <f>Прайс!$D$46</f>
        <v>200</v>
      </c>
      <c r="N168" s="221">
        <f t="shared" si="2"/>
        <v>0</v>
      </c>
      <c r="O168" s="220">
        <f>SUMIF($K$3:$K$47,"J № 1",$O$3:$O$47)+SUMIF($K$3:$K$47,"J № 2",$O$3:$O$47)+SUMIF($K$3:$K$47,"J № 2L",$O$3:$O$47)+SUMIF($K$3:$K$47,"J № 2R",$O$3:$O$47)+SUMIF($K$3:$K$47,"J № 3L",$O$3:$O$47)+SUMIF($K$3:$K$47,"J № 3R",$O$3:$O$47)+SUMIF($K$3:$K$47,"J № 3L",$O$3:$O$47)+SUMIF($K$3:$K$47,"J № 3R",$O$3:$O$47)+SUMIF($K$3:$K$47,"J № 4L",$O$3:$O$47)+SUMIF($K$3:$K$47,"J № 4R",$O$3:$O$47)+SUMIF($K$3:$K$47,"J № 5L",$O$3:$O$47)+SUMIF($K$3:$K$47,"J № 5R",$O$3:$O$47)</f>
        <v>0</v>
      </c>
      <c r="P168" s="189"/>
      <c r="Q168" s="125"/>
      <c r="R168" s="188"/>
      <c r="S168" s="189"/>
      <c r="T168" s="189"/>
      <c r="U168" s="189"/>
      <c r="AF168" s="213"/>
      <c r="AG168" s="213"/>
      <c r="AH168" s="213"/>
      <c r="AI168" s="213"/>
      <c r="AJ168" s="213"/>
      <c r="AK168" s="213"/>
      <c r="AL168" s="213"/>
      <c r="AM168" s="213"/>
      <c r="AN168" s="213"/>
      <c r="AO168" s="213"/>
      <c r="AP168" s="214"/>
    </row>
    <row r="169" spans="2:42" ht="15.75" x14ac:dyDescent="0.25">
      <c r="B169" s="208"/>
      <c r="C169" s="159" t="s">
        <v>259</v>
      </c>
      <c r="D169" s="208"/>
      <c r="E169" s="208"/>
      <c r="F169" s="208"/>
      <c r="G169" s="208"/>
      <c r="H169" s="208"/>
      <c r="I169" s="208"/>
      <c r="J169" s="224" t="s">
        <v>110</v>
      </c>
      <c r="K169" s="219">
        <f>SUMIF($K$3:$K$47,"J № 3",$E$3:$E$47)+SUMIF($K$3:$K$47,"J № 4",$E$3:$E$47)+SUMIF($K$3:$K$47,"J № 5",$E$3:$E$47)+SUMIF($K$3:$K$47,"J № 6",$E$3:$E$47)+SUMIF($K$3:$K$47,"J № 7",$E$3:$E$47)+SUMIF($K$52:$K$56,"Так",$E$52:$E$56)+SUMIF($K$3:$K$47,"AJ № 3L",$E$3:$E$47)+SUMIF($K$3:$K$47,"AJ № 3R",$E$3:$E$47)+SUMIF($K$3:$K$47,"AJ № 4L",$E$3:$E$47)+SUMIF($K$3:$K$47,"AJ № 4R",$E$3:$E$47)+SUMIF($K$3:$K$47,"AJ № 5L",$E$3:$E$47)+SUMIF($K$3:$K$47,"AJ № 5R",$E$3:$E$47)+SUMIF($K$3:$K$47,"AJ № 3",$E$3:$E$47)+SUMIF($K$3:$K$47,"AJ № 4",$E$3:$E$47)+SUMIF($K$3:$K$47,"AJ № 5",$E$3:$E$47)+SUMIF($K$3:$K$47,"L",$E$3:$E$47)+SUMIF($K$3:$K$47,"AL",$E$3:$E$47)+SUMIF($K$3:$K$47,"J № 3L",$E$3:$E$47)+SUMIF($K$3:$K$47,"J № 3R",$E$3:$E$47)+SUMIF($K$3:$K$47,"AJ № 2",$E$3:$E$47)+SUMIF($K$3:$K$47,"AJ № 2L",$E$3:$E$47)+SUMIF($K$3:$K$47,"AJ № 2R",$E$3:$E$47)+SUMIF($K$3:$K$47,"U",$E$3:$E$47)+SUMIF($K$3:$K$47,"V",$E$3:$E$47)+SUMIF($K$3:$K$47,"J № 4L",$E$3:$E$47)+SUMIF($K$3:$K$47,"J № 4R",$E$3:$E$47)+SUMIF($K$3:$K$47,"J № 5L",$E$3:$E$47)+SUMIF($K$3:$K$47,"J № 5R",$E$3:$E$47)</f>
        <v>0</v>
      </c>
      <c r="L169" s="223"/>
      <c r="M169" s="223">
        <f>Прайс!$D$47</f>
        <v>200</v>
      </c>
      <c r="N169" s="221">
        <f t="shared" si="2"/>
        <v>0</v>
      </c>
      <c r="O169" s="220">
        <f>SUMIF($K$3:$K$47,"J № 3",$O$3:$O$47)+SUMIF($K$3:$K$47,"J № 4",$O$3:$O$47)+SUMIF($K$3:$K$47,"J № 5",$O$3:$O$47)+SUMIF($K$3:$K$47,"J № 6",$O$3:$O$47)+SUMIF($K$3:$K$47,"J № 7",$O$3:$O$47)+SUMIF($L$55:$L$59,"Так",$O$55:$O$59)</f>
        <v>0</v>
      </c>
      <c r="P169" s="189"/>
      <c r="Q169" s="125"/>
      <c r="R169" s="188"/>
      <c r="S169" s="189"/>
      <c r="T169" s="189"/>
      <c r="U169" s="189"/>
      <c r="AF169" s="213"/>
      <c r="AG169" s="213"/>
      <c r="AH169" s="213"/>
      <c r="AI169" s="213"/>
      <c r="AJ169" s="213"/>
      <c r="AK169" s="213"/>
      <c r="AL169" s="213"/>
      <c r="AM169" s="213"/>
      <c r="AN169" s="213"/>
      <c r="AO169" s="213"/>
      <c r="AP169" s="214"/>
    </row>
    <row r="170" spans="2:42" ht="15.75" x14ac:dyDescent="0.25">
      <c r="B170" s="208"/>
      <c r="C170" s="159" t="s">
        <v>414</v>
      </c>
      <c r="D170" s="208"/>
      <c r="E170" s="208"/>
      <c r="F170" s="208"/>
      <c r="G170" s="208"/>
      <c r="H170" s="208"/>
      <c r="I170" s="208"/>
      <c r="J170" s="224" t="s">
        <v>109</v>
      </c>
      <c r="K170" s="219">
        <f>SUMIF($K$52:$K$56,"J № 1",$N$52:$N$56)</f>
        <v>0</v>
      </c>
      <c r="L170" s="223"/>
      <c r="M170" s="223">
        <f>Прайс!$D$48</f>
        <v>500</v>
      </c>
      <c r="N170" s="221">
        <f t="shared" si="2"/>
        <v>0</v>
      </c>
      <c r="O170" s="220"/>
      <c r="P170" s="189"/>
      <c r="Q170" s="125"/>
      <c r="R170" s="188"/>
      <c r="S170" s="189"/>
      <c r="T170" s="189"/>
      <c r="U170" s="189"/>
      <c r="AF170" s="213"/>
      <c r="AG170" s="213"/>
      <c r="AH170" s="213"/>
      <c r="AI170" s="213"/>
      <c r="AJ170" s="213"/>
      <c r="AK170" s="213"/>
      <c r="AL170" s="213"/>
      <c r="AM170" s="213"/>
      <c r="AN170" s="213"/>
      <c r="AO170" s="213"/>
      <c r="AP170" s="214"/>
    </row>
    <row r="171" spans="2:42" ht="15.75" x14ac:dyDescent="0.25">
      <c r="B171" s="208"/>
      <c r="C171" s="159" t="s">
        <v>260</v>
      </c>
      <c r="D171" s="208"/>
      <c r="E171" s="208"/>
      <c r="F171" s="208"/>
      <c r="G171" s="208"/>
      <c r="H171" s="208"/>
      <c r="I171" s="208"/>
      <c r="J171" s="224" t="s">
        <v>109</v>
      </c>
      <c r="K171" s="219">
        <f>SUMIF($K$3:$K$47,"45 град.",$N$3:$N$47)</f>
        <v>0</v>
      </c>
      <c r="L171" s="223"/>
      <c r="M171" s="223">
        <f>Прайс!$D$45</f>
        <v>190</v>
      </c>
      <c r="N171" s="221">
        <f t="shared" si="2"/>
        <v>0</v>
      </c>
      <c r="O171" s="220">
        <f>SUMIF($K$3:$K$47,"45 град.",$O$3:$O$47)</f>
        <v>0</v>
      </c>
      <c r="P171" s="189"/>
      <c r="Q171" s="125"/>
      <c r="R171" s="188"/>
      <c r="S171" s="189"/>
      <c r="T171" s="189"/>
      <c r="U171" s="189"/>
      <c r="AF171" s="213"/>
      <c r="AG171" s="213"/>
      <c r="AH171" s="213"/>
      <c r="AI171" s="213"/>
      <c r="AJ171" s="213"/>
      <c r="AK171" s="213"/>
      <c r="AL171" s="213"/>
      <c r="AM171" s="213"/>
      <c r="AN171" s="213"/>
      <c r="AO171" s="213"/>
      <c r="AP171" s="214"/>
    </row>
    <row r="172" spans="2:42" ht="15.75" x14ac:dyDescent="0.25">
      <c r="B172" s="208"/>
      <c r="C172" s="208" t="s">
        <v>203</v>
      </c>
      <c r="D172" s="208"/>
      <c r="E172" s="208"/>
      <c r="F172" s="208"/>
      <c r="G172" s="208"/>
      <c r="H172" s="208"/>
      <c r="I172" s="208"/>
      <c r="J172" s="224" t="s">
        <v>110</v>
      </c>
      <c r="K172" s="219">
        <f>SUM(AA3:AA47)+SUM(AA52:AA56)</f>
        <v>0</v>
      </c>
      <c r="L172" s="223"/>
      <c r="M172" s="223">
        <f>Прайс!$D$49</f>
        <v>25</v>
      </c>
      <c r="N172" s="221">
        <f t="shared" si="2"/>
        <v>0</v>
      </c>
      <c r="O172" s="220">
        <f>SUM(AC3:AC47)+SUM(AC52:AC56)</f>
        <v>0</v>
      </c>
      <c r="P172" s="189"/>
      <c r="Q172" s="125"/>
      <c r="R172" s="188"/>
      <c r="S172" s="189"/>
      <c r="T172" s="189"/>
      <c r="U172" s="189"/>
      <c r="AF172" s="213"/>
      <c r="AG172" s="213"/>
      <c r="AH172" s="213"/>
      <c r="AI172" s="213"/>
      <c r="AJ172" s="213"/>
      <c r="AK172" s="213"/>
      <c r="AL172" s="213"/>
      <c r="AM172" s="213"/>
      <c r="AN172" s="213"/>
      <c r="AO172" s="213"/>
      <c r="AP172" s="214"/>
    </row>
    <row r="173" spans="2:42" ht="15.75" x14ac:dyDescent="0.25">
      <c r="B173" s="208"/>
      <c r="C173" s="250" t="s">
        <v>344</v>
      </c>
      <c r="J173" s="235" t="s">
        <v>110</v>
      </c>
      <c r="K173" s="236">
        <f>SUMIF($P$3:$P$47,"&gt;1",$N$3:$N$47)</f>
        <v>0</v>
      </c>
      <c r="L173" s="237"/>
      <c r="M173" s="237">
        <f>Прайс!$D$62</f>
        <v>315</v>
      </c>
      <c r="N173" s="221">
        <f t="shared" ref="N173" si="3">K173*M173</f>
        <v>0</v>
      </c>
      <c r="O173" s="220">
        <f t="shared" ref="O173" si="4">SUM(AC4:AC48)+SUM(AC53:AC57)</f>
        <v>0</v>
      </c>
      <c r="Q173" s="125"/>
      <c r="R173" s="188"/>
      <c r="S173" s="189"/>
      <c r="T173" s="189"/>
      <c r="U173" s="189"/>
      <c r="AF173" s="213"/>
      <c r="AG173" s="213"/>
      <c r="AH173" s="213"/>
      <c r="AI173" s="213"/>
      <c r="AJ173" s="213"/>
      <c r="AK173" s="213"/>
      <c r="AL173" s="213"/>
      <c r="AM173" s="213"/>
      <c r="AN173" s="213"/>
      <c r="AO173" s="213"/>
      <c r="AP173" s="214"/>
    </row>
    <row r="174" spans="2:42" ht="15.75" x14ac:dyDescent="0.25">
      <c r="B174" s="208"/>
      <c r="C174" s="159"/>
      <c r="D174" s="208"/>
      <c r="E174" s="208"/>
      <c r="F174" s="208"/>
      <c r="G174" s="208"/>
      <c r="H174" s="208"/>
      <c r="I174" s="208"/>
      <c r="J174" s="125"/>
      <c r="K174" s="189"/>
      <c r="L174" s="189"/>
      <c r="M174" s="189"/>
      <c r="N174" s="189"/>
      <c r="O174" s="220"/>
      <c r="P174" s="189"/>
      <c r="Q174" s="125"/>
      <c r="R174" s="188"/>
      <c r="S174" s="189"/>
      <c r="T174" s="189"/>
      <c r="U174" s="189"/>
      <c r="AF174" s="213"/>
      <c r="AG174" s="213"/>
      <c r="AH174" s="213"/>
      <c r="AI174" s="213"/>
      <c r="AJ174" s="213"/>
      <c r="AK174" s="213"/>
      <c r="AL174" s="213"/>
      <c r="AM174" s="213"/>
      <c r="AN174" s="213"/>
      <c r="AO174" s="213"/>
      <c r="AP174" s="214"/>
    </row>
    <row r="175" spans="2:42" ht="15.75" x14ac:dyDescent="0.25">
      <c r="B175" s="208"/>
      <c r="C175" s="159"/>
      <c r="D175" s="208"/>
      <c r="E175" s="208"/>
      <c r="F175" s="208"/>
      <c r="G175" s="208"/>
      <c r="H175" s="208"/>
      <c r="I175" s="208"/>
      <c r="J175" s="125"/>
      <c r="K175" s="189"/>
      <c r="L175" s="189"/>
      <c r="M175" s="189"/>
      <c r="N175" s="189"/>
      <c r="O175" s="189"/>
      <c r="P175" s="189"/>
      <c r="Q175" s="125"/>
      <c r="R175" s="188"/>
      <c r="S175" s="189"/>
      <c r="T175" s="189"/>
      <c r="U175" s="189"/>
      <c r="AF175" s="213"/>
      <c r="AG175" s="213"/>
      <c r="AH175" s="213"/>
      <c r="AI175" s="213"/>
      <c r="AJ175" s="213"/>
      <c r="AK175" s="213"/>
      <c r="AL175" s="213"/>
      <c r="AM175" s="213"/>
      <c r="AN175" s="213"/>
      <c r="AO175" s="213"/>
      <c r="AP175" s="214"/>
    </row>
    <row r="176" spans="2:42" ht="15.75" x14ac:dyDescent="0.25">
      <c r="B176" s="208"/>
      <c r="C176" s="159"/>
      <c r="D176" s="208"/>
      <c r="E176" s="208"/>
      <c r="F176" s="208"/>
      <c r="G176" s="208"/>
      <c r="H176" s="208"/>
      <c r="I176" s="208"/>
      <c r="J176" s="125"/>
      <c r="K176" s="189"/>
      <c r="L176" s="189"/>
      <c r="M176" s="189"/>
      <c r="N176" s="189"/>
      <c r="O176" s="189"/>
      <c r="P176" s="189"/>
      <c r="Q176" s="125"/>
      <c r="R176" s="188"/>
      <c r="S176" s="189"/>
      <c r="T176" s="189"/>
      <c r="U176" s="189"/>
      <c r="AF176" s="213"/>
      <c r="AG176" s="213"/>
      <c r="AH176" s="213"/>
      <c r="AI176" s="213"/>
      <c r="AJ176" s="213"/>
      <c r="AK176" s="213"/>
      <c r="AL176" s="213"/>
      <c r="AM176" s="213"/>
      <c r="AN176" s="213"/>
      <c r="AO176" s="213"/>
      <c r="AP176" s="214"/>
    </row>
    <row r="177" spans="2:42" ht="15.75" x14ac:dyDescent="0.25">
      <c r="B177" s="208"/>
      <c r="C177" s="159"/>
      <c r="D177" s="208"/>
      <c r="E177" s="208"/>
      <c r="F177" s="208"/>
      <c r="G177" s="208"/>
      <c r="H177" s="208"/>
      <c r="I177" s="208"/>
      <c r="J177" s="125"/>
      <c r="K177" s="189"/>
      <c r="L177" s="189"/>
      <c r="M177" s="189"/>
      <c r="N177" s="189"/>
      <c r="O177" s="189"/>
      <c r="P177" s="189"/>
      <c r="Q177" s="125"/>
      <c r="R177" s="188"/>
      <c r="S177" s="189"/>
      <c r="T177" s="189"/>
      <c r="U177" s="189"/>
      <c r="AF177" s="213"/>
      <c r="AG177" s="213"/>
      <c r="AH177" s="213"/>
      <c r="AI177" s="213"/>
      <c r="AJ177" s="213"/>
      <c r="AK177" s="213"/>
      <c r="AL177" s="213"/>
      <c r="AM177" s="213"/>
      <c r="AN177" s="213"/>
      <c r="AO177" s="213"/>
      <c r="AP177" s="214"/>
    </row>
    <row r="178" spans="2:42" ht="15.75" x14ac:dyDescent="0.25">
      <c r="B178" s="208"/>
      <c r="C178" s="159"/>
      <c r="D178" s="208"/>
      <c r="E178" s="208"/>
      <c r="F178" s="208"/>
      <c r="G178" s="208"/>
      <c r="H178" s="208"/>
      <c r="I178" s="208"/>
      <c r="J178" s="125"/>
      <c r="K178" s="189"/>
      <c r="L178" s="189"/>
      <c r="M178" s="189"/>
      <c r="N178" s="189"/>
      <c r="O178" s="189"/>
      <c r="P178" s="189"/>
      <c r="Q178" s="125"/>
      <c r="R178" s="188"/>
      <c r="S178" s="189"/>
      <c r="T178" s="189"/>
      <c r="U178" s="189"/>
      <c r="AF178" s="213"/>
      <c r="AG178" s="213"/>
      <c r="AH178" s="213"/>
      <c r="AI178" s="213"/>
      <c r="AJ178" s="213"/>
      <c r="AK178" s="213"/>
      <c r="AL178" s="213"/>
      <c r="AM178" s="213"/>
      <c r="AN178" s="213"/>
      <c r="AO178" s="213"/>
      <c r="AP178" s="214"/>
    </row>
    <row r="179" spans="2:42" ht="15.75" x14ac:dyDescent="0.25">
      <c r="B179" s="208"/>
      <c r="C179" s="159"/>
      <c r="D179" s="208"/>
      <c r="E179" s="208"/>
      <c r="F179" s="208"/>
      <c r="G179" s="208"/>
      <c r="H179" s="208"/>
      <c r="I179" s="208"/>
      <c r="J179" s="125"/>
      <c r="K179" s="189"/>
      <c r="L179" s="189"/>
      <c r="M179" s="189"/>
      <c r="N179" s="189"/>
      <c r="O179" s="189"/>
      <c r="P179" s="189"/>
      <c r="Q179" s="125"/>
      <c r="R179" s="188"/>
      <c r="S179" s="189"/>
      <c r="T179" s="189"/>
      <c r="U179" s="189"/>
      <c r="AF179" s="213"/>
      <c r="AG179" s="213"/>
      <c r="AH179" s="213"/>
      <c r="AI179" s="213"/>
      <c r="AJ179" s="213"/>
      <c r="AK179" s="213"/>
      <c r="AL179" s="213"/>
      <c r="AM179" s="213"/>
      <c r="AN179" s="213"/>
      <c r="AO179" s="213"/>
      <c r="AP179" s="214"/>
    </row>
    <row r="180" spans="2:42" ht="15.75" x14ac:dyDescent="0.25">
      <c r="B180" s="208"/>
      <c r="C180" s="159"/>
      <c r="D180" s="208"/>
      <c r="E180" s="208"/>
      <c r="F180" s="208"/>
      <c r="G180" s="208"/>
      <c r="H180" s="208"/>
      <c r="I180" s="208"/>
      <c r="J180" s="125"/>
      <c r="K180" s="189"/>
      <c r="L180" s="189"/>
      <c r="M180" s="189"/>
      <c r="N180" s="189"/>
      <c r="O180" s="189"/>
      <c r="P180" s="189"/>
      <c r="Q180" s="125"/>
      <c r="R180" s="188"/>
      <c r="S180" s="189"/>
      <c r="T180" s="189"/>
      <c r="U180" s="189"/>
      <c r="AF180" s="213"/>
      <c r="AG180" s="213"/>
      <c r="AH180" s="213"/>
      <c r="AI180" s="213"/>
      <c r="AJ180" s="213"/>
      <c r="AK180" s="213"/>
      <c r="AL180" s="213"/>
      <c r="AM180" s="213"/>
      <c r="AN180" s="213"/>
      <c r="AO180" s="213"/>
      <c r="AP180" s="214"/>
    </row>
    <row r="181" spans="2:42" ht="15.75" x14ac:dyDescent="0.25">
      <c r="B181" s="208"/>
      <c r="C181" s="159"/>
      <c r="D181" s="208"/>
      <c r="E181" s="208"/>
      <c r="F181" s="208"/>
      <c r="G181" s="208"/>
      <c r="H181" s="208"/>
      <c r="I181" s="208"/>
      <c r="J181" s="125"/>
      <c r="K181" s="189"/>
      <c r="L181" s="189"/>
      <c r="M181" s="189"/>
      <c r="N181" s="189"/>
      <c r="O181" s="189"/>
      <c r="P181" s="189"/>
      <c r="Q181" s="125"/>
      <c r="R181" s="188"/>
      <c r="S181" s="189"/>
      <c r="T181" s="189"/>
      <c r="U181" s="189"/>
      <c r="AF181" s="213"/>
      <c r="AG181" s="213"/>
      <c r="AH181" s="213"/>
      <c r="AI181" s="213"/>
      <c r="AJ181" s="213"/>
      <c r="AK181" s="213"/>
      <c r="AL181" s="213"/>
      <c r="AM181" s="213"/>
      <c r="AN181" s="213"/>
      <c r="AO181" s="213"/>
      <c r="AP181" s="214"/>
    </row>
    <row r="182" spans="2:42" ht="15.75" x14ac:dyDescent="0.25">
      <c r="B182" s="208"/>
      <c r="C182" s="159"/>
      <c r="D182" s="208"/>
      <c r="E182" s="208"/>
      <c r="F182" s="208"/>
      <c r="G182" s="208"/>
      <c r="H182" s="208"/>
      <c r="I182" s="208"/>
      <c r="J182" s="125"/>
      <c r="K182" s="189"/>
      <c r="L182" s="189"/>
      <c r="M182" s="189"/>
      <c r="N182" s="189"/>
      <c r="O182" s="189"/>
      <c r="P182" s="189"/>
      <c r="Q182" s="125"/>
      <c r="R182" s="188"/>
      <c r="S182" s="189"/>
      <c r="T182" s="189"/>
      <c r="U182" s="189"/>
      <c r="AF182" s="213"/>
      <c r="AG182" s="213"/>
      <c r="AH182" s="213"/>
      <c r="AI182" s="213"/>
      <c r="AJ182" s="213"/>
      <c r="AK182" s="213"/>
      <c r="AL182" s="213"/>
      <c r="AM182" s="213"/>
      <c r="AN182" s="213"/>
      <c r="AO182" s="213"/>
      <c r="AP182" s="214"/>
    </row>
    <row r="183" spans="2:42" ht="15.75" x14ac:dyDescent="0.25">
      <c r="B183" s="208"/>
      <c r="C183" s="159"/>
      <c r="D183" s="208"/>
      <c r="E183" s="208"/>
      <c r="F183" s="208"/>
      <c r="G183" s="208"/>
      <c r="H183" s="208"/>
      <c r="I183" s="208"/>
      <c r="J183" s="125"/>
      <c r="K183" s="189"/>
      <c r="L183" s="189"/>
      <c r="M183" s="189"/>
      <c r="N183" s="189"/>
      <c r="O183" s="189"/>
      <c r="P183" s="189"/>
      <c r="Q183" s="125"/>
      <c r="R183" s="188"/>
      <c r="S183" s="189"/>
      <c r="T183" s="189"/>
      <c r="U183" s="189"/>
      <c r="AF183" s="213"/>
      <c r="AG183" s="213"/>
      <c r="AH183" s="213"/>
      <c r="AI183" s="213"/>
      <c r="AJ183" s="213"/>
      <c r="AK183" s="213"/>
      <c r="AL183" s="213"/>
      <c r="AM183" s="213"/>
      <c r="AN183" s="213"/>
      <c r="AO183" s="213"/>
      <c r="AP183" s="214"/>
    </row>
    <row r="184" spans="2:42" ht="15.75" x14ac:dyDescent="0.25">
      <c r="B184" s="208"/>
      <c r="C184" s="159"/>
      <c r="D184" s="208"/>
      <c r="E184" s="208"/>
      <c r="F184" s="208"/>
      <c r="G184" s="208"/>
      <c r="H184" s="208"/>
      <c r="I184" s="208"/>
      <c r="J184" s="125"/>
      <c r="K184" s="189"/>
      <c r="L184" s="189"/>
      <c r="M184" s="189"/>
      <c r="N184" s="189"/>
      <c r="O184" s="189"/>
      <c r="P184" s="189"/>
      <c r="Q184" s="125"/>
      <c r="R184" s="188"/>
      <c r="S184" s="189"/>
      <c r="T184" s="189"/>
      <c r="U184" s="189"/>
      <c r="AF184" s="213"/>
      <c r="AG184" s="213"/>
      <c r="AH184" s="213"/>
      <c r="AI184" s="213"/>
      <c r="AJ184" s="213"/>
      <c r="AK184" s="213"/>
      <c r="AL184" s="213"/>
      <c r="AM184" s="213"/>
      <c r="AN184" s="213"/>
      <c r="AO184" s="213"/>
      <c r="AP184" s="214"/>
    </row>
    <row r="185" spans="2:42" ht="15.75" x14ac:dyDescent="0.25">
      <c r="B185" s="208"/>
      <c r="C185" s="159"/>
      <c r="D185" s="208"/>
      <c r="E185" s="208"/>
      <c r="F185" s="208"/>
      <c r="G185" s="208"/>
      <c r="H185" s="208"/>
      <c r="I185" s="208"/>
      <c r="J185" s="125"/>
      <c r="K185" s="189"/>
      <c r="L185" s="189"/>
      <c r="M185" s="189"/>
      <c r="N185" s="189"/>
      <c r="O185" s="189"/>
      <c r="P185" s="189"/>
      <c r="Q185" s="125"/>
      <c r="R185" s="188"/>
      <c r="S185" s="189"/>
      <c r="T185" s="189"/>
      <c r="U185" s="189"/>
      <c r="AF185" s="213"/>
      <c r="AG185" s="213"/>
      <c r="AH185" s="213"/>
      <c r="AI185" s="213"/>
      <c r="AJ185" s="213"/>
      <c r="AK185" s="213"/>
      <c r="AL185" s="213"/>
      <c r="AM185" s="213"/>
      <c r="AN185" s="213"/>
      <c r="AO185" s="213"/>
      <c r="AP185" s="214"/>
    </row>
    <row r="186" spans="2:42" ht="15.75" x14ac:dyDescent="0.25">
      <c r="B186" s="208"/>
      <c r="C186" s="159"/>
      <c r="D186" s="208"/>
      <c r="E186" s="208"/>
      <c r="F186" s="208"/>
      <c r="G186" s="208"/>
      <c r="H186" s="208"/>
      <c r="I186" s="208"/>
      <c r="J186" s="125"/>
      <c r="K186" s="189"/>
      <c r="L186" s="189"/>
      <c r="M186" s="189"/>
      <c r="N186" s="189"/>
      <c r="O186" s="189"/>
      <c r="P186" s="189"/>
      <c r="Q186" s="125"/>
      <c r="R186" s="188"/>
      <c r="S186" s="189"/>
      <c r="T186" s="189"/>
      <c r="U186" s="189"/>
      <c r="AF186" s="213"/>
      <c r="AG186" s="213"/>
      <c r="AH186" s="213"/>
      <c r="AI186" s="213"/>
      <c r="AJ186" s="213"/>
      <c r="AK186" s="213"/>
      <c r="AL186" s="213"/>
      <c r="AM186" s="213"/>
      <c r="AN186" s="213"/>
      <c r="AO186" s="213"/>
      <c r="AP186" s="214"/>
    </row>
    <row r="187" spans="2:42" ht="15.75" x14ac:dyDescent="0.25">
      <c r="B187" s="208"/>
      <c r="C187" s="159"/>
      <c r="D187" s="208"/>
      <c r="E187" s="208"/>
      <c r="F187" s="208"/>
      <c r="G187" s="208"/>
      <c r="H187" s="208"/>
      <c r="I187" s="208"/>
      <c r="J187" s="125"/>
      <c r="K187" s="189"/>
      <c r="L187" s="189"/>
      <c r="M187" s="189"/>
      <c r="N187" s="189"/>
      <c r="O187" s="189"/>
      <c r="P187" s="189"/>
      <c r="Q187" s="125"/>
      <c r="R187" s="188"/>
      <c r="S187" s="189"/>
      <c r="T187" s="189"/>
      <c r="U187" s="189"/>
      <c r="AF187" s="213"/>
      <c r="AG187" s="213"/>
      <c r="AH187" s="213"/>
      <c r="AI187" s="213"/>
      <c r="AJ187" s="213"/>
      <c r="AK187" s="213"/>
      <c r="AL187" s="213"/>
      <c r="AM187" s="213"/>
      <c r="AN187" s="213"/>
      <c r="AO187" s="213"/>
      <c r="AP187" s="214"/>
    </row>
    <row r="188" spans="2:42" ht="15.75" x14ac:dyDescent="0.25">
      <c r="B188" s="208"/>
      <c r="C188" s="159"/>
      <c r="D188" s="208"/>
      <c r="E188" s="208"/>
      <c r="F188" s="208"/>
      <c r="G188" s="208"/>
      <c r="H188" s="208"/>
      <c r="I188" s="208"/>
      <c r="J188" s="188"/>
      <c r="K188" s="189"/>
      <c r="L188" s="189"/>
      <c r="M188" s="189"/>
      <c r="N188" s="189"/>
      <c r="O188" s="189"/>
      <c r="P188" s="189"/>
      <c r="Q188" s="125"/>
      <c r="R188" s="188"/>
      <c r="S188" s="189"/>
      <c r="T188" s="189"/>
      <c r="U188" s="189"/>
      <c r="AF188" s="213"/>
      <c r="AG188" s="213"/>
      <c r="AH188" s="213"/>
      <c r="AI188" s="213"/>
      <c r="AJ188" s="213"/>
      <c r="AK188" s="213"/>
      <c r="AL188" s="213"/>
      <c r="AM188" s="213"/>
      <c r="AN188" s="213"/>
      <c r="AO188" s="213"/>
      <c r="AP188" s="214"/>
    </row>
    <row r="189" spans="2:42" ht="15.75" x14ac:dyDescent="0.25">
      <c r="B189" s="208"/>
      <c r="C189" s="159"/>
      <c r="D189" s="208"/>
      <c r="E189" s="208"/>
      <c r="F189" s="208"/>
      <c r="G189" s="208"/>
      <c r="H189" s="208"/>
      <c r="I189" s="208"/>
      <c r="J189" s="188"/>
      <c r="K189" s="189"/>
      <c r="L189" s="189"/>
      <c r="M189" s="189"/>
      <c r="N189" s="189"/>
      <c r="O189" s="189"/>
      <c r="P189" s="189"/>
      <c r="Q189" s="125"/>
      <c r="R189" s="188"/>
      <c r="S189" s="189"/>
      <c r="T189" s="189"/>
      <c r="U189" s="189"/>
      <c r="AF189" s="213"/>
      <c r="AG189" s="213"/>
      <c r="AH189" s="213"/>
      <c r="AI189" s="213"/>
      <c r="AJ189" s="213"/>
      <c r="AK189" s="213"/>
      <c r="AL189" s="213"/>
      <c r="AM189" s="213"/>
      <c r="AN189" s="213"/>
      <c r="AO189" s="213"/>
      <c r="AP189" s="214"/>
    </row>
    <row r="190" spans="2:42" ht="15.75" x14ac:dyDescent="0.25">
      <c r="B190" s="208"/>
      <c r="C190" s="208"/>
      <c r="D190" s="208"/>
      <c r="E190" s="208"/>
      <c r="F190" s="208"/>
      <c r="G190" s="208"/>
      <c r="H190" s="208"/>
      <c r="I190" s="208"/>
      <c r="Q190" s="125"/>
      <c r="R190" s="188"/>
      <c r="S190" s="189"/>
      <c r="T190" s="189"/>
      <c r="U190" s="189"/>
      <c r="AF190" s="213"/>
      <c r="AG190" s="213"/>
      <c r="AH190" s="213"/>
      <c r="AI190" s="213"/>
      <c r="AJ190" s="213"/>
      <c r="AK190" s="213"/>
      <c r="AL190" s="213"/>
      <c r="AM190" s="213"/>
      <c r="AN190" s="213"/>
      <c r="AO190" s="213"/>
      <c r="AP190" s="214"/>
    </row>
    <row r="191" spans="2:42" ht="15.75" x14ac:dyDescent="0.25">
      <c r="B191" s="208"/>
      <c r="C191" s="208"/>
      <c r="D191" s="208"/>
      <c r="E191" s="208"/>
      <c r="F191" s="208"/>
      <c r="G191" s="208"/>
      <c r="H191" s="208"/>
      <c r="I191" s="208"/>
      <c r="Q191" s="125"/>
      <c r="R191" s="188"/>
      <c r="S191" s="189"/>
      <c r="T191" s="189"/>
      <c r="U191" s="189"/>
      <c r="AF191" s="213"/>
      <c r="AG191" s="213"/>
      <c r="AH191" s="213"/>
      <c r="AI191" s="213"/>
      <c r="AJ191" s="213"/>
      <c r="AK191" s="213"/>
      <c r="AL191" s="213"/>
      <c r="AM191" s="213"/>
      <c r="AN191" s="213"/>
      <c r="AO191" s="213"/>
      <c r="AP191" s="214"/>
    </row>
    <row r="192" spans="2:42" ht="15.75" x14ac:dyDescent="0.25">
      <c r="B192" s="208"/>
      <c r="C192" s="208"/>
      <c r="D192" s="208"/>
      <c r="E192" s="208"/>
      <c r="F192" s="208"/>
      <c r="G192" s="208"/>
      <c r="H192" s="208"/>
      <c r="I192" s="208"/>
      <c r="J192" s="208"/>
      <c r="K192" s="208"/>
      <c r="L192" s="208"/>
      <c r="M192" s="125"/>
      <c r="N192" s="125"/>
      <c r="O192" s="125"/>
      <c r="P192" s="125"/>
      <c r="Q192" s="125"/>
      <c r="R192" s="188"/>
      <c r="S192" s="189"/>
      <c r="T192" s="189"/>
      <c r="U192" s="189"/>
      <c r="AF192" s="213"/>
      <c r="AG192" s="213"/>
      <c r="AH192" s="213"/>
      <c r="AI192" s="213"/>
      <c r="AJ192" s="213"/>
      <c r="AK192" s="213"/>
      <c r="AL192" s="213"/>
      <c r="AM192" s="213"/>
      <c r="AN192" s="213"/>
      <c r="AO192" s="213"/>
      <c r="AP192" s="214"/>
    </row>
    <row r="193" spans="2:42" ht="15.75" x14ac:dyDescent="0.25">
      <c r="B193" s="208"/>
      <c r="C193" s="208"/>
      <c r="D193" s="208"/>
      <c r="E193" s="208"/>
      <c r="F193" s="208"/>
      <c r="G193" s="208"/>
      <c r="H193" s="208"/>
      <c r="I193" s="208"/>
      <c r="J193" s="208"/>
      <c r="K193" s="208"/>
      <c r="L193" s="208"/>
      <c r="M193" s="125"/>
      <c r="N193" s="125"/>
      <c r="O193" s="125"/>
      <c r="P193" s="125"/>
      <c r="Q193" s="125"/>
      <c r="R193" s="188"/>
      <c r="S193" s="189"/>
      <c r="T193" s="189"/>
      <c r="U193" s="189"/>
      <c r="AF193" s="213"/>
      <c r="AG193" s="213"/>
      <c r="AH193" s="213"/>
      <c r="AI193" s="213"/>
      <c r="AJ193" s="213"/>
      <c r="AK193" s="213"/>
      <c r="AL193" s="213"/>
      <c r="AM193" s="213"/>
      <c r="AN193" s="213"/>
      <c r="AO193" s="213"/>
      <c r="AP193" s="214"/>
    </row>
    <row r="194" spans="2:42" ht="15.75" x14ac:dyDescent="0.25">
      <c r="B194" s="159"/>
      <c r="C194" s="208"/>
      <c r="D194" s="208"/>
      <c r="E194" s="208"/>
      <c r="F194" s="208"/>
      <c r="G194" s="208"/>
      <c r="H194" s="208"/>
      <c r="I194" s="208"/>
      <c r="J194" s="208"/>
      <c r="K194" s="208"/>
      <c r="L194" s="208"/>
      <c r="M194" s="125"/>
      <c r="N194" s="125"/>
      <c r="O194" s="125"/>
      <c r="P194" s="125"/>
      <c r="Q194" s="125"/>
      <c r="R194" s="188"/>
      <c r="S194" s="189"/>
      <c r="T194" s="189"/>
      <c r="U194" s="189"/>
      <c r="AF194" s="213"/>
      <c r="AG194" s="213"/>
      <c r="AH194" s="213"/>
      <c r="AI194" s="213"/>
      <c r="AJ194" s="213"/>
      <c r="AK194" s="213"/>
      <c r="AL194" s="213"/>
      <c r="AM194" s="213"/>
      <c r="AN194" s="213"/>
      <c r="AO194" s="213"/>
      <c r="AP194" s="214"/>
    </row>
    <row r="195" spans="2:42" ht="15.75" x14ac:dyDescent="0.25">
      <c r="B195" s="208"/>
      <c r="C195" s="208"/>
      <c r="D195" s="208"/>
      <c r="E195" s="208"/>
      <c r="F195" s="208"/>
      <c r="G195" s="208"/>
      <c r="H195" s="208"/>
      <c r="I195" s="208"/>
      <c r="J195" s="208"/>
      <c r="K195" s="208"/>
      <c r="L195" s="208"/>
      <c r="M195" s="125"/>
      <c r="N195" s="125"/>
      <c r="O195" s="125"/>
      <c r="P195" s="125"/>
      <c r="Q195" s="125"/>
      <c r="R195" s="188"/>
      <c r="S195" s="189"/>
      <c r="T195" s="189"/>
      <c r="U195" s="189"/>
      <c r="AF195" s="213"/>
      <c r="AG195" s="213"/>
      <c r="AH195" s="213"/>
      <c r="AI195" s="213"/>
      <c r="AJ195" s="213"/>
      <c r="AK195" s="213"/>
      <c r="AL195" s="213"/>
      <c r="AM195" s="213"/>
      <c r="AN195" s="213"/>
      <c r="AO195" s="213"/>
      <c r="AP195" s="214"/>
    </row>
    <row r="196" spans="2:42" ht="15.75" x14ac:dyDescent="0.25">
      <c r="B196" s="208"/>
      <c r="C196" s="208"/>
      <c r="D196" s="208"/>
      <c r="E196" s="208"/>
      <c r="F196" s="208"/>
      <c r="G196" s="208"/>
      <c r="H196" s="208"/>
      <c r="I196" s="208"/>
      <c r="J196" s="208"/>
      <c r="K196" s="208"/>
      <c r="L196" s="208"/>
      <c r="M196" s="125"/>
      <c r="N196" s="125"/>
      <c r="O196" s="125"/>
      <c r="P196" s="125"/>
      <c r="Q196" s="125"/>
      <c r="R196" s="188"/>
      <c r="S196" s="189"/>
      <c r="T196" s="189"/>
      <c r="U196" s="189"/>
      <c r="AF196" s="213"/>
      <c r="AG196" s="213"/>
      <c r="AH196" s="213"/>
      <c r="AI196" s="213"/>
      <c r="AJ196" s="213"/>
      <c r="AK196" s="213"/>
      <c r="AL196" s="213"/>
      <c r="AM196" s="213"/>
      <c r="AN196" s="213"/>
      <c r="AO196" s="213"/>
      <c r="AP196" s="214"/>
    </row>
    <row r="197" spans="2:42" ht="15.75" x14ac:dyDescent="0.25">
      <c r="B197" s="159"/>
      <c r="C197" s="208"/>
      <c r="D197" s="208"/>
      <c r="E197" s="208"/>
      <c r="F197" s="208"/>
      <c r="G197" s="208"/>
      <c r="H197" s="208"/>
      <c r="I197" s="208"/>
      <c r="J197" s="208"/>
      <c r="K197" s="208"/>
      <c r="L197" s="208"/>
      <c r="M197" s="125"/>
      <c r="N197" s="125"/>
      <c r="O197" s="125"/>
      <c r="P197" s="125"/>
      <c r="Q197" s="125"/>
      <c r="R197" s="188"/>
      <c r="S197" s="189"/>
      <c r="T197" s="189"/>
      <c r="U197" s="189"/>
      <c r="AF197" s="213"/>
      <c r="AG197" s="213"/>
      <c r="AH197" s="213"/>
      <c r="AI197" s="213"/>
      <c r="AJ197" s="213"/>
      <c r="AK197" s="213"/>
      <c r="AL197" s="213"/>
      <c r="AM197" s="213"/>
      <c r="AN197" s="213"/>
      <c r="AO197" s="213"/>
      <c r="AP197" s="214"/>
    </row>
    <row r="198" spans="2:42" ht="15.75" x14ac:dyDescent="0.25">
      <c r="B198" s="208"/>
      <c r="C198" s="208"/>
      <c r="D198" s="208"/>
      <c r="E198" s="208"/>
      <c r="F198" s="208"/>
      <c r="G198" s="208"/>
      <c r="H198" s="208"/>
      <c r="I198" s="208"/>
      <c r="J198" s="208"/>
      <c r="K198" s="208"/>
      <c r="L198" s="208"/>
      <c r="M198" s="125"/>
      <c r="N198" s="125"/>
      <c r="O198" s="125"/>
      <c r="P198" s="125"/>
      <c r="Q198" s="125"/>
      <c r="R198" s="188"/>
      <c r="S198" s="189"/>
      <c r="T198" s="189"/>
      <c r="U198" s="189"/>
      <c r="AF198" s="213"/>
      <c r="AG198" s="213"/>
      <c r="AH198" s="213"/>
      <c r="AI198" s="213"/>
      <c r="AJ198" s="213"/>
      <c r="AK198" s="213"/>
      <c r="AL198" s="213"/>
      <c r="AM198" s="213"/>
      <c r="AN198" s="213"/>
      <c r="AO198" s="213"/>
      <c r="AP198" s="214"/>
    </row>
    <row r="199" spans="2:42" ht="15.75" x14ac:dyDescent="0.25">
      <c r="B199" s="208"/>
      <c r="C199" s="208"/>
      <c r="D199" s="208"/>
      <c r="E199" s="208"/>
      <c r="F199" s="208"/>
      <c r="G199" s="208"/>
      <c r="H199" s="208"/>
      <c r="I199" s="208"/>
      <c r="J199" s="208"/>
      <c r="K199" s="208"/>
      <c r="L199" s="208"/>
      <c r="M199" s="125"/>
      <c r="N199" s="125"/>
      <c r="O199" s="125"/>
      <c r="P199" s="125"/>
      <c r="Q199" s="125"/>
      <c r="R199" s="188"/>
      <c r="S199" s="189"/>
      <c r="T199" s="189"/>
      <c r="U199" s="189"/>
      <c r="AF199" s="213"/>
      <c r="AG199" s="213"/>
      <c r="AH199" s="213"/>
      <c r="AI199" s="213"/>
      <c r="AJ199" s="213"/>
      <c r="AK199" s="213"/>
      <c r="AL199" s="213"/>
      <c r="AM199" s="213"/>
      <c r="AN199" s="213"/>
      <c r="AO199" s="213"/>
      <c r="AP199" s="214"/>
    </row>
    <row r="200" spans="2:42" ht="15.75" x14ac:dyDescent="0.25">
      <c r="B200" s="159"/>
      <c r="C200" s="208"/>
      <c r="D200" s="208"/>
      <c r="E200" s="208"/>
      <c r="F200" s="208"/>
      <c r="G200" s="208"/>
      <c r="H200" s="208"/>
      <c r="I200" s="208"/>
      <c r="J200" s="208"/>
      <c r="K200" s="208"/>
      <c r="L200" s="208"/>
      <c r="M200" s="125"/>
      <c r="N200" s="125"/>
      <c r="O200" s="125"/>
      <c r="P200" s="125"/>
      <c r="Q200" s="125"/>
      <c r="R200" s="188"/>
      <c r="S200" s="189"/>
      <c r="T200" s="189"/>
      <c r="U200" s="189"/>
      <c r="AF200" s="213"/>
      <c r="AG200" s="213"/>
      <c r="AH200" s="213"/>
      <c r="AI200" s="213"/>
      <c r="AJ200" s="213"/>
      <c r="AK200" s="213"/>
      <c r="AL200" s="213"/>
      <c r="AM200" s="213"/>
      <c r="AN200" s="213"/>
      <c r="AO200" s="213"/>
      <c r="AP200" s="214"/>
    </row>
    <row r="201" spans="2:42" ht="15.75" x14ac:dyDescent="0.25">
      <c r="B201" s="208"/>
      <c r="C201" s="208"/>
      <c r="D201" s="208"/>
      <c r="E201" s="208"/>
      <c r="F201" s="208"/>
      <c r="G201" s="208"/>
      <c r="H201" s="208"/>
      <c r="I201" s="208"/>
      <c r="J201" s="208"/>
      <c r="K201" s="208"/>
      <c r="L201" s="208"/>
      <c r="M201" s="125"/>
      <c r="N201" s="125"/>
      <c r="O201" s="125"/>
      <c r="P201" s="125"/>
      <c r="Q201" s="125"/>
      <c r="R201" s="188"/>
      <c r="S201" s="189"/>
      <c r="T201" s="189"/>
      <c r="U201" s="189"/>
      <c r="AF201" s="213"/>
      <c r="AG201" s="213"/>
      <c r="AH201" s="213"/>
      <c r="AI201" s="213"/>
      <c r="AJ201" s="213"/>
      <c r="AK201" s="213"/>
      <c r="AL201" s="213"/>
      <c r="AM201" s="213"/>
      <c r="AN201" s="213"/>
      <c r="AO201" s="213"/>
      <c r="AP201" s="214"/>
    </row>
    <row r="202" spans="2:42" ht="15.75" x14ac:dyDescent="0.25">
      <c r="B202" s="159"/>
      <c r="C202" s="208"/>
      <c r="D202" s="208"/>
      <c r="E202" s="208"/>
      <c r="F202" s="208"/>
      <c r="G202" s="208"/>
      <c r="H202" s="208"/>
      <c r="I202" s="208"/>
      <c r="J202" s="208"/>
      <c r="K202" s="208"/>
      <c r="L202" s="208"/>
      <c r="M202" s="125"/>
      <c r="N202" s="125"/>
      <c r="O202" s="125"/>
      <c r="P202" s="125"/>
      <c r="Q202" s="125"/>
      <c r="R202" s="188"/>
      <c r="S202" s="189"/>
      <c r="T202" s="189"/>
      <c r="U202" s="189"/>
      <c r="AF202" s="213"/>
      <c r="AG202" s="213"/>
      <c r="AH202" s="213"/>
      <c r="AI202" s="213"/>
      <c r="AJ202" s="213"/>
      <c r="AK202" s="213"/>
      <c r="AL202" s="213"/>
      <c r="AM202" s="213"/>
      <c r="AN202" s="213"/>
      <c r="AO202" s="213"/>
      <c r="AP202" s="214"/>
    </row>
    <row r="203" spans="2:42" ht="15.75" x14ac:dyDescent="0.25">
      <c r="B203" s="208"/>
      <c r="C203" s="208"/>
      <c r="D203" s="208"/>
      <c r="E203" s="208"/>
      <c r="F203" s="208"/>
      <c r="G203" s="208"/>
      <c r="H203" s="208"/>
      <c r="I203" s="208"/>
      <c r="J203" s="208"/>
      <c r="K203" s="208"/>
      <c r="L203" s="208"/>
      <c r="M203" s="125"/>
      <c r="N203" s="125"/>
      <c r="O203" s="125"/>
      <c r="P203" s="125"/>
      <c r="Q203" s="125"/>
      <c r="R203" s="188"/>
      <c r="S203" s="189"/>
      <c r="T203" s="189"/>
      <c r="U203" s="189"/>
      <c r="AF203" s="213"/>
      <c r="AG203" s="213"/>
      <c r="AH203" s="213"/>
      <c r="AI203" s="213"/>
      <c r="AJ203" s="213"/>
      <c r="AK203" s="213"/>
      <c r="AL203" s="213"/>
      <c r="AM203" s="213"/>
      <c r="AN203" s="213"/>
      <c r="AO203" s="213"/>
      <c r="AP203" s="214"/>
    </row>
    <row r="204" spans="2:42" ht="15.75" x14ac:dyDescent="0.25">
      <c r="B204" s="208"/>
      <c r="C204" s="208"/>
      <c r="D204" s="208"/>
      <c r="E204" s="208"/>
      <c r="F204" s="208"/>
      <c r="G204" s="208"/>
      <c r="H204" s="208"/>
      <c r="I204" s="208"/>
      <c r="J204" s="208"/>
      <c r="K204" s="208"/>
      <c r="L204" s="208"/>
      <c r="M204" s="125"/>
      <c r="N204" s="125"/>
      <c r="O204" s="125"/>
      <c r="P204" s="125"/>
      <c r="Q204" s="125"/>
      <c r="R204" s="188"/>
      <c r="S204" s="189"/>
      <c r="T204" s="189"/>
      <c r="U204" s="189"/>
      <c r="AF204" s="213"/>
      <c r="AG204" s="213"/>
      <c r="AH204" s="213"/>
      <c r="AI204" s="213"/>
      <c r="AJ204" s="213"/>
      <c r="AK204" s="213"/>
      <c r="AL204" s="213"/>
      <c r="AM204" s="213"/>
      <c r="AN204" s="213"/>
      <c r="AO204" s="213"/>
      <c r="AP204" s="214"/>
    </row>
    <row r="205" spans="2:42" ht="15.75" x14ac:dyDescent="0.25">
      <c r="B205" s="208"/>
      <c r="C205" s="208"/>
      <c r="D205" s="208"/>
      <c r="E205" s="208"/>
      <c r="F205" s="208"/>
      <c r="G205" s="208"/>
      <c r="H205" s="208"/>
      <c r="I205" s="208"/>
      <c r="J205" s="208"/>
      <c r="K205" s="208"/>
      <c r="L205" s="208"/>
      <c r="M205" s="125"/>
      <c r="N205" s="125"/>
      <c r="O205" s="125"/>
      <c r="P205" s="125"/>
      <c r="Q205" s="125"/>
      <c r="R205" s="188"/>
      <c r="S205" s="189"/>
      <c r="T205" s="189"/>
      <c r="U205" s="189"/>
      <c r="AF205" s="213"/>
      <c r="AG205" s="213"/>
      <c r="AH205" s="213"/>
      <c r="AI205" s="213"/>
      <c r="AJ205" s="213"/>
      <c r="AK205" s="213"/>
      <c r="AL205" s="213"/>
      <c r="AM205" s="213"/>
      <c r="AN205" s="213"/>
      <c r="AO205" s="213"/>
      <c r="AP205" s="214"/>
    </row>
    <row r="206" spans="2:42" ht="15.75" x14ac:dyDescent="0.25">
      <c r="B206" s="159"/>
      <c r="C206" s="208"/>
      <c r="D206" s="208"/>
      <c r="E206" s="208"/>
      <c r="F206" s="208"/>
      <c r="G206" s="208"/>
      <c r="H206" s="208"/>
      <c r="I206" s="208"/>
      <c r="J206" s="208"/>
      <c r="K206" s="208"/>
      <c r="L206" s="208"/>
      <c r="M206" s="125"/>
      <c r="N206" s="125"/>
      <c r="O206" s="125"/>
      <c r="P206" s="125"/>
      <c r="Q206" s="125"/>
      <c r="R206" s="188"/>
      <c r="S206" s="189"/>
      <c r="T206" s="189"/>
      <c r="U206" s="189"/>
      <c r="AF206" s="213"/>
      <c r="AG206" s="213"/>
      <c r="AH206" s="213"/>
      <c r="AI206" s="213"/>
      <c r="AJ206" s="213"/>
      <c r="AK206" s="213"/>
      <c r="AL206" s="213"/>
      <c r="AM206" s="213"/>
      <c r="AN206" s="213"/>
      <c r="AO206" s="213"/>
      <c r="AP206" s="214"/>
    </row>
    <row r="207" spans="2:42" ht="15.75" x14ac:dyDescent="0.25">
      <c r="B207" s="159"/>
      <c r="C207" s="208"/>
      <c r="D207" s="208"/>
      <c r="E207" s="208"/>
      <c r="F207" s="208"/>
      <c r="G207" s="208"/>
      <c r="H207" s="208"/>
      <c r="I207" s="208"/>
      <c r="J207" s="208"/>
      <c r="K207" s="208"/>
      <c r="L207" s="208"/>
      <c r="M207" s="125"/>
      <c r="N207" s="125"/>
      <c r="O207" s="125"/>
      <c r="P207" s="125"/>
      <c r="Q207" s="125"/>
      <c r="R207" s="188"/>
      <c r="S207" s="189"/>
      <c r="T207" s="189"/>
      <c r="U207" s="189"/>
      <c r="AF207" s="213"/>
      <c r="AG207" s="213"/>
      <c r="AH207" s="213"/>
      <c r="AI207" s="213"/>
      <c r="AJ207" s="213"/>
      <c r="AK207" s="213"/>
      <c r="AL207" s="213"/>
      <c r="AM207" s="213"/>
      <c r="AN207" s="213"/>
      <c r="AO207" s="213"/>
      <c r="AP207" s="214"/>
    </row>
    <row r="208" spans="2:42" ht="15.75" x14ac:dyDescent="0.25">
      <c r="B208" s="208"/>
      <c r="C208" s="208"/>
      <c r="D208" s="208"/>
      <c r="E208" s="208"/>
      <c r="F208" s="208"/>
      <c r="G208" s="208"/>
      <c r="H208" s="208"/>
      <c r="I208" s="208"/>
      <c r="J208" s="208"/>
      <c r="K208" s="208"/>
      <c r="L208" s="208"/>
      <c r="M208" s="125"/>
      <c r="N208" s="125"/>
      <c r="O208" s="125"/>
      <c r="P208" s="125"/>
      <c r="Q208" s="125"/>
      <c r="R208" s="188"/>
      <c r="S208" s="189"/>
      <c r="T208" s="189"/>
      <c r="U208" s="189"/>
      <c r="AF208" s="213"/>
      <c r="AG208" s="213"/>
      <c r="AH208" s="213"/>
      <c r="AI208" s="213"/>
      <c r="AJ208" s="213"/>
      <c r="AK208" s="213"/>
      <c r="AL208" s="213"/>
      <c r="AM208" s="213"/>
      <c r="AN208" s="213"/>
      <c r="AO208" s="213"/>
      <c r="AP208" s="214"/>
    </row>
    <row r="209" spans="2:42" ht="15.75" x14ac:dyDescent="0.25">
      <c r="B209" s="208"/>
      <c r="C209" s="208"/>
      <c r="D209" s="208"/>
      <c r="E209" s="208"/>
      <c r="F209" s="208"/>
      <c r="G209" s="208"/>
      <c r="H209" s="208"/>
      <c r="I209" s="208"/>
      <c r="J209" s="208"/>
      <c r="K209" s="208"/>
      <c r="L209" s="208"/>
      <c r="M209" s="125"/>
      <c r="N209" s="125"/>
      <c r="O209" s="125"/>
      <c r="P209" s="125"/>
      <c r="Q209" s="125"/>
      <c r="R209" s="188"/>
      <c r="S209" s="189"/>
      <c r="T209" s="189"/>
      <c r="U209" s="189"/>
      <c r="AF209" s="213"/>
      <c r="AG209" s="213"/>
      <c r="AH209" s="213"/>
      <c r="AI209" s="213"/>
      <c r="AJ209" s="213"/>
      <c r="AK209" s="213"/>
      <c r="AL209" s="213"/>
      <c r="AM209" s="213"/>
      <c r="AN209" s="213"/>
      <c r="AO209" s="213"/>
      <c r="AP209" s="214"/>
    </row>
    <row r="210" spans="2:42" ht="15.75" x14ac:dyDescent="0.25">
      <c r="B210" s="208"/>
      <c r="C210" s="208"/>
      <c r="D210" s="208"/>
      <c r="E210" s="208"/>
      <c r="F210" s="208"/>
      <c r="G210" s="208"/>
      <c r="H210" s="208"/>
      <c r="I210" s="208"/>
      <c r="J210" s="208"/>
      <c r="K210" s="208"/>
      <c r="L210" s="208"/>
      <c r="M210" s="125"/>
      <c r="N210" s="125"/>
      <c r="O210" s="125"/>
      <c r="P210" s="125"/>
      <c r="Q210" s="125"/>
      <c r="R210" s="188"/>
      <c r="S210" s="189"/>
      <c r="T210" s="189"/>
      <c r="U210" s="189"/>
      <c r="AF210" s="213"/>
      <c r="AG210" s="213"/>
      <c r="AH210" s="213"/>
      <c r="AI210" s="213"/>
      <c r="AJ210" s="213"/>
      <c r="AK210" s="213"/>
      <c r="AL210" s="213"/>
      <c r="AM210" s="213"/>
      <c r="AN210" s="213"/>
      <c r="AO210" s="213"/>
      <c r="AP210" s="214"/>
    </row>
    <row r="211" spans="2:42" ht="15.75" x14ac:dyDescent="0.25">
      <c r="B211" s="208"/>
      <c r="C211" s="208"/>
      <c r="D211" s="208"/>
      <c r="E211" s="208"/>
      <c r="F211" s="208"/>
      <c r="G211" s="208"/>
      <c r="H211" s="208"/>
      <c r="I211" s="208"/>
      <c r="J211" s="208"/>
      <c r="K211" s="208"/>
      <c r="L211" s="208"/>
      <c r="M211" s="125"/>
      <c r="N211" s="125"/>
      <c r="O211" s="125"/>
      <c r="P211" s="125"/>
      <c r="Q211" s="125"/>
      <c r="R211" s="188"/>
      <c r="S211" s="189"/>
      <c r="T211" s="189"/>
      <c r="U211" s="189"/>
      <c r="AF211" s="213"/>
      <c r="AG211" s="213"/>
      <c r="AH211" s="213"/>
      <c r="AI211" s="213"/>
      <c r="AJ211" s="213"/>
      <c r="AK211" s="213"/>
      <c r="AL211" s="213"/>
      <c r="AM211" s="213"/>
      <c r="AN211" s="213"/>
      <c r="AO211" s="213"/>
      <c r="AP211" s="214"/>
    </row>
    <row r="212" spans="2:42" ht="15.75" x14ac:dyDescent="0.25">
      <c r="B212" s="159"/>
      <c r="C212" s="208"/>
      <c r="D212" s="208"/>
      <c r="E212" s="208"/>
      <c r="F212" s="208"/>
      <c r="G212" s="208"/>
      <c r="H212" s="208"/>
      <c r="I212" s="208"/>
      <c r="J212" s="208"/>
      <c r="K212" s="208"/>
      <c r="L212" s="208"/>
      <c r="M212" s="125"/>
      <c r="N212" s="125"/>
      <c r="O212" s="125"/>
      <c r="P212" s="125"/>
      <c r="Q212" s="125"/>
      <c r="R212" s="188"/>
      <c r="S212" s="189"/>
      <c r="T212" s="189"/>
      <c r="U212" s="189"/>
      <c r="AF212" s="213"/>
      <c r="AG212" s="213"/>
      <c r="AH212" s="213"/>
      <c r="AI212" s="213"/>
      <c r="AJ212" s="213"/>
      <c r="AK212" s="213"/>
      <c r="AL212" s="213"/>
      <c r="AM212" s="213"/>
      <c r="AN212" s="213"/>
      <c r="AO212" s="213"/>
      <c r="AP212" s="214"/>
    </row>
    <row r="213" spans="2:42" ht="15.75" x14ac:dyDescent="0.25">
      <c r="B213" s="159"/>
      <c r="C213" s="208"/>
      <c r="D213" s="208"/>
      <c r="E213" s="208"/>
      <c r="F213" s="208"/>
      <c r="G213" s="208"/>
      <c r="H213" s="208"/>
      <c r="I213" s="208"/>
      <c r="J213" s="208"/>
      <c r="K213" s="208"/>
      <c r="L213" s="208"/>
      <c r="M213" s="125"/>
      <c r="N213" s="125"/>
      <c r="O213" s="125"/>
      <c r="P213" s="125"/>
      <c r="Q213" s="125"/>
      <c r="R213" s="188"/>
      <c r="S213" s="189"/>
      <c r="T213" s="189"/>
      <c r="U213" s="189"/>
      <c r="AF213" s="213"/>
      <c r="AG213" s="213"/>
      <c r="AH213" s="213"/>
      <c r="AI213" s="213"/>
      <c r="AJ213" s="213"/>
      <c r="AK213" s="213"/>
      <c r="AL213" s="213"/>
      <c r="AM213" s="213"/>
      <c r="AN213" s="213"/>
      <c r="AO213" s="213"/>
      <c r="AP213" s="214"/>
    </row>
    <row r="214" spans="2:42" ht="15.75" x14ac:dyDescent="0.25">
      <c r="B214" s="208"/>
      <c r="C214" s="208"/>
      <c r="D214" s="208"/>
      <c r="E214" s="208"/>
      <c r="F214" s="208"/>
      <c r="G214" s="208"/>
      <c r="H214" s="208"/>
      <c r="I214" s="208"/>
      <c r="J214" s="208"/>
      <c r="K214" s="208"/>
      <c r="L214" s="208"/>
      <c r="M214" s="125"/>
      <c r="N214" s="125"/>
      <c r="O214" s="125"/>
      <c r="P214" s="125"/>
      <c r="Q214" s="125"/>
      <c r="R214" s="188"/>
      <c r="S214" s="189"/>
      <c r="T214" s="189"/>
      <c r="U214" s="189"/>
      <c r="AF214" s="213"/>
      <c r="AG214" s="213"/>
      <c r="AH214" s="213"/>
      <c r="AI214" s="213"/>
      <c r="AJ214" s="213"/>
      <c r="AK214" s="213"/>
      <c r="AL214" s="213"/>
      <c r="AM214" s="213"/>
      <c r="AN214" s="213"/>
      <c r="AO214" s="213"/>
      <c r="AP214" s="214"/>
    </row>
    <row r="215" spans="2:42" ht="15.75" x14ac:dyDescent="0.25">
      <c r="B215" s="208"/>
      <c r="C215" s="208"/>
      <c r="D215" s="208"/>
      <c r="E215" s="208"/>
      <c r="F215" s="208"/>
      <c r="G215" s="208"/>
      <c r="H215" s="208"/>
      <c r="I215" s="208"/>
      <c r="J215" s="208"/>
      <c r="K215" s="208"/>
      <c r="L215" s="208"/>
      <c r="M215" s="125"/>
      <c r="N215" s="125"/>
      <c r="O215" s="125"/>
      <c r="P215" s="125"/>
      <c r="Q215" s="125"/>
      <c r="R215" s="188"/>
      <c r="S215" s="189"/>
      <c r="T215" s="189"/>
      <c r="U215" s="189"/>
      <c r="AF215" s="213"/>
      <c r="AG215" s="213"/>
      <c r="AH215" s="213"/>
      <c r="AI215" s="213"/>
      <c r="AJ215" s="213"/>
      <c r="AK215" s="213"/>
      <c r="AL215" s="213"/>
      <c r="AM215" s="213"/>
      <c r="AN215" s="213"/>
      <c r="AO215" s="213"/>
      <c r="AP215" s="214"/>
    </row>
    <row r="216" spans="2:42" ht="15.75" x14ac:dyDescent="0.25">
      <c r="B216" s="208"/>
      <c r="C216" s="208"/>
      <c r="D216" s="208"/>
      <c r="E216" s="208"/>
      <c r="F216" s="208"/>
      <c r="G216" s="208"/>
      <c r="H216" s="208"/>
      <c r="I216" s="208"/>
      <c r="J216" s="208"/>
      <c r="K216" s="208"/>
      <c r="L216" s="208"/>
      <c r="M216" s="125"/>
      <c r="N216" s="125"/>
      <c r="O216" s="125"/>
      <c r="P216" s="125"/>
      <c r="Q216" s="125"/>
      <c r="R216" s="188"/>
      <c r="S216" s="189"/>
      <c r="T216" s="189"/>
      <c r="U216" s="189"/>
      <c r="AF216" s="213"/>
      <c r="AG216" s="213"/>
      <c r="AH216" s="213"/>
      <c r="AI216" s="213"/>
      <c r="AJ216" s="213"/>
      <c r="AK216" s="213"/>
      <c r="AL216" s="213"/>
      <c r="AM216" s="213"/>
      <c r="AN216" s="213"/>
      <c r="AO216" s="213"/>
      <c r="AP216" s="214"/>
    </row>
    <row r="217" spans="2:42" ht="15.75" x14ac:dyDescent="0.25">
      <c r="B217" s="208"/>
      <c r="C217" s="208"/>
      <c r="D217" s="208"/>
      <c r="E217" s="208"/>
      <c r="F217" s="208"/>
      <c r="G217" s="208"/>
      <c r="H217" s="208"/>
      <c r="I217" s="208"/>
      <c r="J217" s="208"/>
      <c r="K217" s="208"/>
      <c r="L217" s="208"/>
      <c r="M217" s="125"/>
      <c r="N217" s="125"/>
      <c r="O217" s="125"/>
      <c r="P217" s="125"/>
      <c r="Q217" s="125"/>
      <c r="R217" s="188"/>
      <c r="S217" s="189"/>
      <c r="T217" s="189"/>
      <c r="U217" s="189"/>
      <c r="AF217" s="213"/>
      <c r="AG217" s="213"/>
      <c r="AH217" s="213"/>
      <c r="AI217" s="213"/>
      <c r="AJ217" s="213"/>
      <c r="AK217" s="213"/>
      <c r="AL217" s="213"/>
      <c r="AM217" s="213"/>
      <c r="AN217" s="213"/>
      <c r="AO217" s="213"/>
      <c r="AP217" s="214"/>
    </row>
    <row r="218" spans="2:42" ht="15.75" x14ac:dyDescent="0.25">
      <c r="B218" s="159"/>
      <c r="C218" s="208"/>
      <c r="D218" s="208"/>
      <c r="E218" s="208"/>
      <c r="F218" s="208"/>
      <c r="G218" s="208"/>
      <c r="H218" s="208"/>
      <c r="I218" s="208"/>
      <c r="J218" s="208"/>
      <c r="K218" s="208"/>
      <c r="L218" s="208"/>
      <c r="M218" s="125"/>
      <c r="N218" s="125"/>
      <c r="O218" s="125"/>
      <c r="P218" s="125"/>
      <c r="Q218" s="125"/>
      <c r="R218" s="188"/>
      <c r="S218" s="189"/>
      <c r="T218" s="189"/>
      <c r="U218" s="189"/>
      <c r="AF218" s="213"/>
      <c r="AG218" s="213"/>
      <c r="AH218" s="213"/>
      <c r="AI218" s="213"/>
      <c r="AJ218" s="213"/>
      <c r="AK218" s="213"/>
      <c r="AL218" s="213"/>
      <c r="AM218" s="213"/>
      <c r="AN218" s="213"/>
      <c r="AO218" s="213"/>
      <c r="AP218" s="214"/>
    </row>
    <row r="219" spans="2:42" ht="15.75" x14ac:dyDescent="0.25">
      <c r="B219" s="159"/>
      <c r="C219" s="208"/>
      <c r="D219" s="208"/>
      <c r="E219" s="208"/>
      <c r="F219" s="208"/>
      <c r="G219" s="208"/>
      <c r="H219" s="208"/>
      <c r="I219" s="208"/>
      <c r="J219" s="208"/>
      <c r="K219" s="208"/>
      <c r="L219" s="208"/>
      <c r="M219" s="125"/>
      <c r="N219" s="125"/>
      <c r="O219" s="125"/>
      <c r="P219" s="125"/>
      <c r="Q219" s="125"/>
      <c r="R219" s="188"/>
      <c r="S219" s="189"/>
      <c r="T219" s="189"/>
      <c r="U219" s="189"/>
      <c r="AF219" s="213"/>
      <c r="AG219" s="213"/>
      <c r="AH219" s="213"/>
      <c r="AI219" s="213"/>
      <c r="AJ219" s="213"/>
      <c r="AK219" s="213"/>
      <c r="AL219" s="213"/>
      <c r="AM219" s="213"/>
      <c r="AN219" s="213"/>
      <c r="AO219" s="213"/>
      <c r="AP219" s="214"/>
    </row>
    <row r="220" spans="2:42" ht="15.75" x14ac:dyDescent="0.25">
      <c r="B220" s="208"/>
      <c r="C220" s="208"/>
      <c r="D220" s="208"/>
      <c r="E220" s="208"/>
      <c r="F220" s="208"/>
      <c r="G220" s="208"/>
      <c r="H220" s="208"/>
      <c r="I220" s="208"/>
      <c r="J220" s="208"/>
      <c r="K220" s="208"/>
      <c r="L220" s="208"/>
      <c r="M220" s="125"/>
      <c r="N220" s="125"/>
      <c r="O220" s="125"/>
      <c r="P220" s="125"/>
      <c r="Q220" s="125"/>
      <c r="R220" s="188"/>
      <c r="S220" s="189"/>
      <c r="T220" s="189"/>
      <c r="U220" s="189"/>
      <c r="AF220" s="213"/>
      <c r="AG220" s="213"/>
      <c r="AH220" s="213"/>
      <c r="AI220" s="213"/>
      <c r="AJ220" s="213"/>
      <c r="AK220" s="213"/>
      <c r="AL220" s="213"/>
      <c r="AM220" s="213"/>
      <c r="AN220" s="213"/>
      <c r="AO220" s="213"/>
      <c r="AP220" s="214"/>
    </row>
    <row r="221" spans="2:42" ht="15.75" x14ac:dyDescent="0.25">
      <c r="B221" s="208"/>
      <c r="C221" s="208"/>
      <c r="D221" s="208"/>
      <c r="E221" s="208"/>
      <c r="F221" s="208"/>
      <c r="G221" s="208"/>
      <c r="H221" s="208"/>
      <c r="I221" s="208"/>
      <c r="J221" s="208"/>
      <c r="K221" s="208"/>
      <c r="L221" s="208"/>
      <c r="M221" s="125"/>
      <c r="N221" s="125"/>
      <c r="O221" s="125"/>
      <c r="P221" s="125"/>
      <c r="Q221" s="125"/>
      <c r="R221" s="188"/>
      <c r="S221" s="189"/>
      <c r="T221" s="189"/>
      <c r="U221" s="189"/>
      <c r="AF221" s="213"/>
      <c r="AG221" s="213"/>
      <c r="AH221" s="213"/>
      <c r="AI221" s="213"/>
      <c r="AJ221" s="213"/>
      <c r="AK221" s="213"/>
      <c r="AL221" s="213"/>
      <c r="AM221" s="213"/>
      <c r="AN221" s="213"/>
      <c r="AO221" s="213"/>
      <c r="AP221" s="214"/>
    </row>
    <row r="222" spans="2:42" ht="15.75" x14ac:dyDescent="0.25">
      <c r="B222" s="208"/>
      <c r="C222" s="208"/>
      <c r="D222" s="208"/>
      <c r="E222" s="208"/>
      <c r="F222" s="208"/>
      <c r="G222" s="208"/>
      <c r="H222" s="208"/>
      <c r="I222" s="208"/>
      <c r="J222" s="208"/>
      <c r="K222" s="208"/>
      <c r="L222" s="208"/>
      <c r="M222" s="125"/>
      <c r="N222" s="125"/>
      <c r="O222" s="125"/>
      <c r="P222" s="125"/>
      <c r="Q222" s="125"/>
      <c r="R222" s="188"/>
      <c r="S222" s="189"/>
      <c r="T222" s="189"/>
      <c r="U222" s="189"/>
      <c r="AF222" s="213"/>
      <c r="AG222" s="213"/>
      <c r="AH222" s="213"/>
      <c r="AI222" s="213"/>
      <c r="AJ222" s="213"/>
      <c r="AK222" s="213"/>
      <c r="AL222" s="213"/>
      <c r="AM222" s="213"/>
      <c r="AN222" s="213"/>
      <c r="AO222" s="213"/>
      <c r="AP222" s="214"/>
    </row>
    <row r="223" spans="2:42" ht="15.75" x14ac:dyDescent="0.25">
      <c r="B223" s="208"/>
      <c r="C223" s="208"/>
      <c r="D223" s="208"/>
      <c r="E223" s="208"/>
      <c r="F223" s="208"/>
      <c r="G223" s="208"/>
      <c r="H223" s="208"/>
      <c r="I223" s="208"/>
      <c r="J223" s="208"/>
      <c r="K223" s="208"/>
      <c r="L223" s="208"/>
      <c r="M223" s="125"/>
      <c r="N223" s="125"/>
      <c r="O223" s="125"/>
      <c r="P223" s="125"/>
      <c r="Q223" s="125"/>
      <c r="R223" s="188"/>
      <c r="S223" s="189"/>
      <c r="T223" s="189"/>
      <c r="U223" s="189"/>
      <c r="AF223" s="213"/>
      <c r="AG223" s="213"/>
      <c r="AH223" s="213"/>
      <c r="AI223" s="213"/>
      <c r="AJ223" s="213"/>
      <c r="AK223" s="213"/>
      <c r="AL223" s="213"/>
      <c r="AM223" s="213"/>
      <c r="AN223" s="213"/>
      <c r="AO223" s="213"/>
      <c r="AP223" s="214"/>
    </row>
    <row r="224" spans="2:42" ht="15.75" x14ac:dyDescent="0.25">
      <c r="B224" s="208"/>
      <c r="C224" s="208"/>
      <c r="D224" s="208"/>
      <c r="E224" s="208"/>
      <c r="F224" s="208"/>
      <c r="G224" s="208"/>
      <c r="H224" s="208"/>
      <c r="I224" s="208"/>
      <c r="J224" s="208"/>
      <c r="K224" s="208"/>
      <c r="L224" s="208"/>
      <c r="M224" s="125"/>
      <c r="N224" s="125"/>
      <c r="O224" s="125"/>
      <c r="P224" s="125"/>
      <c r="Q224" s="125"/>
      <c r="R224" s="188"/>
      <c r="S224" s="189"/>
      <c r="T224" s="189"/>
      <c r="U224" s="189"/>
      <c r="AF224" s="213"/>
      <c r="AG224" s="213"/>
      <c r="AH224" s="213"/>
      <c r="AI224" s="213"/>
      <c r="AJ224" s="213"/>
      <c r="AK224" s="213"/>
      <c r="AL224" s="213"/>
      <c r="AM224" s="213"/>
      <c r="AN224" s="213"/>
      <c r="AO224" s="213"/>
      <c r="AP224" s="214"/>
    </row>
    <row r="225" spans="2:42" ht="15.75" x14ac:dyDescent="0.25">
      <c r="B225" s="208"/>
      <c r="C225" s="208"/>
      <c r="D225" s="208"/>
      <c r="E225" s="208"/>
      <c r="F225" s="208"/>
      <c r="G225" s="208"/>
      <c r="H225" s="208"/>
      <c r="I225" s="208"/>
      <c r="J225" s="208"/>
      <c r="K225" s="208"/>
      <c r="L225" s="208"/>
      <c r="M225" s="125"/>
      <c r="N225" s="125"/>
      <c r="O225" s="125"/>
      <c r="P225" s="125"/>
      <c r="Q225" s="125"/>
      <c r="R225" s="188"/>
      <c r="S225" s="189"/>
      <c r="T225" s="189"/>
      <c r="U225" s="189"/>
      <c r="AF225" s="213"/>
      <c r="AG225" s="213"/>
      <c r="AH225" s="213"/>
      <c r="AI225" s="213"/>
      <c r="AJ225" s="213"/>
      <c r="AK225" s="213"/>
      <c r="AL225" s="213"/>
      <c r="AM225" s="213"/>
      <c r="AN225" s="213"/>
      <c r="AO225" s="213"/>
      <c r="AP225" s="214"/>
    </row>
    <row r="226" spans="2:42" ht="15.75" x14ac:dyDescent="0.25">
      <c r="B226" s="208"/>
      <c r="C226" s="208"/>
      <c r="D226" s="208"/>
      <c r="E226" s="208"/>
      <c r="F226" s="208"/>
      <c r="G226" s="208"/>
      <c r="H226" s="208"/>
      <c r="I226" s="208"/>
      <c r="J226" s="208"/>
      <c r="K226" s="208"/>
      <c r="L226" s="208"/>
      <c r="M226" s="125"/>
      <c r="N226" s="125"/>
      <c r="O226" s="125"/>
      <c r="P226" s="125"/>
      <c r="Q226" s="125"/>
      <c r="R226" s="188"/>
      <c r="S226" s="189"/>
      <c r="T226" s="189"/>
      <c r="U226" s="189"/>
      <c r="AF226" s="213"/>
      <c r="AG226" s="213"/>
      <c r="AH226" s="213"/>
      <c r="AI226" s="213"/>
      <c r="AJ226" s="213"/>
      <c r="AK226" s="213"/>
      <c r="AL226" s="213"/>
      <c r="AM226" s="213"/>
      <c r="AN226" s="213"/>
      <c r="AO226" s="213"/>
      <c r="AP226" s="214"/>
    </row>
    <row r="227" spans="2:42" ht="15.75" x14ac:dyDescent="0.25">
      <c r="B227" s="208"/>
      <c r="C227" s="208"/>
      <c r="D227" s="208"/>
      <c r="E227" s="208"/>
      <c r="F227" s="208"/>
      <c r="G227" s="208"/>
      <c r="H227" s="208"/>
      <c r="I227" s="208"/>
      <c r="J227" s="208"/>
      <c r="K227" s="208"/>
      <c r="L227" s="208"/>
      <c r="M227" s="125"/>
      <c r="N227" s="125"/>
      <c r="O227" s="125"/>
      <c r="P227" s="125"/>
      <c r="Q227" s="125"/>
      <c r="R227" s="188"/>
      <c r="S227" s="189"/>
      <c r="T227" s="189"/>
      <c r="U227" s="189"/>
      <c r="AF227" s="213"/>
      <c r="AG227" s="213"/>
      <c r="AH227" s="213"/>
      <c r="AI227" s="213"/>
      <c r="AJ227" s="213"/>
      <c r="AK227" s="213"/>
      <c r="AL227" s="213"/>
      <c r="AM227" s="213"/>
      <c r="AN227" s="213"/>
      <c r="AO227" s="213"/>
      <c r="AP227" s="214"/>
    </row>
    <row r="228" spans="2:42" ht="15.75" x14ac:dyDescent="0.25">
      <c r="B228" s="208"/>
      <c r="C228" s="208"/>
      <c r="D228" s="208"/>
      <c r="E228" s="208"/>
      <c r="F228" s="208"/>
      <c r="G228" s="208"/>
      <c r="H228" s="208"/>
      <c r="I228" s="208"/>
      <c r="J228" s="208"/>
      <c r="K228" s="208"/>
      <c r="L228" s="208"/>
      <c r="M228" s="125"/>
      <c r="N228" s="125"/>
      <c r="O228" s="125"/>
      <c r="P228" s="125"/>
      <c r="Q228" s="125"/>
      <c r="R228" s="188"/>
      <c r="S228" s="189"/>
      <c r="T228" s="189"/>
      <c r="U228" s="189"/>
      <c r="AF228" s="213"/>
      <c r="AG228" s="213"/>
      <c r="AH228" s="213"/>
      <c r="AI228" s="213"/>
      <c r="AJ228" s="213"/>
      <c r="AK228" s="213"/>
      <c r="AL228" s="213"/>
      <c r="AM228" s="213"/>
      <c r="AN228" s="213"/>
      <c r="AO228" s="213"/>
      <c r="AP228" s="214"/>
    </row>
    <row r="229" spans="2:42" ht="15.75" x14ac:dyDescent="0.25">
      <c r="B229" s="208"/>
      <c r="C229" s="208"/>
      <c r="D229" s="208"/>
      <c r="E229" s="208"/>
      <c r="F229" s="208"/>
      <c r="G229" s="208"/>
      <c r="H229" s="208"/>
      <c r="I229" s="208"/>
      <c r="J229" s="208"/>
      <c r="K229" s="208"/>
      <c r="L229" s="208"/>
      <c r="M229" s="125"/>
      <c r="N229" s="125"/>
      <c r="O229" s="125"/>
      <c r="P229" s="125"/>
      <c r="Q229" s="125"/>
      <c r="R229" s="188"/>
      <c r="S229" s="189"/>
      <c r="T229" s="189"/>
      <c r="U229" s="189"/>
      <c r="AF229" s="213"/>
      <c r="AG229" s="213"/>
      <c r="AH229" s="213"/>
      <c r="AI229" s="213"/>
      <c r="AJ229" s="213"/>
      <c r="AK229" s="213"/>
      <c r="AL229" s="213"/>
      <c r="AM229" s="213"/>
      <c r="AN229" s="213"/>
      <c r="AO229" s="213"/>
      <c r="AP229" s="214"/>
    </row>
    <row r="230" spans="2:42" ht="15.75" x14ac:dyDescent="0.25">
      <c r="B230" s="208"/>
      <c r="C230" s="208"/>
      <c r="D230" s="208"/>
      <c r="E230" s="208"/>
      <c r="F230" s="208"/>
      <c r="G230" s="208"/>
      <c r="H230" s="208"/>
      <c r="I230" s="208"/>
      <c r="J230" s="208"/>
      <c r="K230" s="208"/>
      <c r="L230" s="208"/>
      <c r="M230" s="125"/>
      <c r="N230" s="125"/>
      <c r="O230" s="125"/>
      <c r="P230" s="125"/>
      <c r="Q230" s="125"/>
      <c r="R230" s="188"/>
      <c r="S230" s="189"/>
      <c r="T230" s="189"/>
      <c r="U230" s="189"/>
      <c r="AF230" s="213"/>
      <c r="AG230" s="213"/>
      <c r="AH230" s="213"/>
      <c r="AI230" s="213"/>
      <c r="AJ230" s="213"/>
      <c r="AK230" s="213"/>
      <c r="AL230" s="213"/>
      <c r="AM230" s="213"/>
      <c r="AN230" s="213"/>
      <c r="AO230" s="213"/>
      <c r="AP230" s="214"/>
    </row>
    <row r="231" spans="2:42" ht="15.75" x14ac:dyDescent="0.25">
      <c r="B231" s="208"/>
      <c r="C231" s="208"/>
      <c r="D231" s="208"/>
      <c r="E231" s="208"/>
      <c r="F231" s="208"/>
      <c r="G231" s="208"/>
      <c r="H231" s="208"/>
      <c r="I231" s="208"/>
      <c r="J231" s="208"/>
      <c r="K231" s="208"/>
      <c r="L231" s="208"/>
      <c r="M231" s="125"/>
      <c r="N231" s="125"/>
      <c r="O231" s="125"/>
      <c r="P231" s="125"/>
      <c r="Q231" s="125"/>
      <c r="R231" s="188"/>
      <c r="S231" s="189"/>
      <c r="T231" s="189"/>
      <c r="U231" s="189"/>
      <c r="AF231" s="213"/>
      <c r="AG231" s="213"/>
      <c r="AH231" s="213"/>
      <c r="AI231" s="213"/>
      <c r="AJ231" s="213"/>
      <c r="AK231" s="213"/>
      <c r="AL231" s="213"/>
      <c r="AM231" s="213"/>
      <c r="AN231" s="213"/>
      <c r="AO231" s="213"/>
      <c r="AP231" s="214"/>
    </row>
    <row r="232" spans="2:42" ht="15.75" x14ac:dyDescent="0.25">
      <c r="B232" s="208"/>
      <c r="C232" s="208"/>
      <c r="D232" s="208"/>
      <c r="E232" s="208"/>
      <c r="F232" s="208"/>
      <c r="G232" s="208"/>
      <c r="H232" s="208"/>
      <c r="I232" s="208"/>
      <c r="J232" s="208"/>
      <c r="K232" s="208"/>
      <c r="L232" s="208"/>
      <c r="M232" s="125"/>
      <c r="N232" s="125"/>
      <c r="O232" s="125"/>
      <c r="P232" s="125"/>
      <c r="Q232" s="125"/>
      <c r="R232" s="188"/>
      <c r="S232" s="189"/>
      <c r="T232" s="189"/>
      <c r="U232" s="189"/>
      <c r="AF232" s="213"/>
      <c r="AG232" s="213"/>
      <c r="AH232" s="213"/>
      <c r="AI232" s="213"/>
      <c r="AJ232" s="213"/>
      <c r="AK232" s="213"/>
      <c r="AL232" s="213"/>
      <c r="AM232" s="213"/>
      <c r="AN232" s="213"/>
      <c r="AO232" s="213"/>
      <c r="AP232" s="214"/>
    </row>
    <row r="233" spans="2:42" ht="15.75" x14ac:dyDescent="0.25">
      <c r="B233" s="208"/>
      <c r="C233" s="208"/>
      <c r="D233" s="208"/>
      <c r="E233" s="208"/>
      <c r="F233" s="208"/>
      <c r="G233" s="208"/>
      <c r="H233" s="208"/>
      <c r="I233" s="208"/>
      <c r="J233" s="208"/>
      <c r="K233" s="208"/>
      <c r="L233" s="208"/>
      <c r="M233" s="125"/>
      <c r="N233" s="125"/>
      <c r="O233" s="125"/>
      <c r="P233" s="125"/>
      <c r="Q233" s="125"/>
      <c r="R233" s="188"/>
      <c r="S233" s="189"/>
      <c r="T233" s="189"/>
      <c r="U233" s="189"/>
      <c r="AF233" s="213"/>
      <c r="AG233" s="213"/>
      <c r="AH233" s="213"/>
      <c r="AI233" s="213"/>
      <c r="AJ233" s="213"/>
      <c r="AK233" s="213"/>
      <c r="AL233" s="213"/>
      <c r="AM233" s="213"/>
      <c r="AN233" s="213"/>
      <c r="AO233" s="213"/>
      <c r="AP233" s="214"/>
    </row>
    <row r="234" spans="2:42" ht="15.75" x14ac:dyDescent="0.25">
      <c r="B234" s="208"/>
      <c r="C234" s="208"/>
      <c r="D234" s="208"/>
      <c r="E234" s="208"/>
      <c r="F234" s="208"/>
      <c r="G234" s="208"/>
      <c r="H234" s="208"/>
      <c r="I234" s="208"/>
      <c r="J234" s="208"/>
      <c r="K234" s="208"/>
      <c r="L234" s="208"/>
      <c r="M234" s="125"/>
      <c r="N234" s="125"/>
      <c r="O234" s="125"/>
      <c r="P234" s="125"/>
      <c r="Q234" s="125"/>
      <c r="R234" s="188"/>
      <c r="S234" s="189"/>
      <c r="T234" s="189"/>
      <c r="U234" s="189"/>
      <c r="AF234" s="213"/>
      <c r="AG234" s="213"/>
      <c r="AH234" s="213"/>
      <c r="AI234" s="213"/>
      <c r="AJ234" s="213"/>
      <c r="AK234" s="213"/>
      <c r="AL234" s="213"/>
      <c r="AM234" s="213"/>
      <c r="AN234" s="213"/>
      <c r="AO234" s="213"/>
      <c r="AP234" s="214"/>
    </row>
    <row r="235" spans="2:42" ht="15.75" x14ac:dyDescent="0.25">
      <c r="B235" s="208"/>
      <c r="C235" s="208"/>
      <c r="D235" s="208"/>
      <c r="E235" s="208"/>
      <c r="F235" s="208"/>
      <c r="G235" s="208"/>
      <c r="H235" s="208"/>
      <c r="I235" s="208"/>
      <c r="J235" s="208"/>
      <c r="K235" s="208"/>
      <c r="L235" s="208"/>
      <c r="M235" s="125"/>
      <c r="N235" s="125"/>
      <c r="O235" s="125"/>
      <c r="P235" s="125"/>
      <c r="Q235" s="125"/>
      <c r="R235" s="188"/>
      <c r="S235" s="189"/>
      <c r="T235" s="189"/>
      <c r="U235" s="189"/>
      <c r="AF235" s="213"/>
      <c r="AG235" s="213"/>
      <c r="AH235" s="213"/>
      <c r="AI235" s="213"/>
      <c r="AJ235" s="213"/>
      <c r="AK235" s="213"/>
      <c r="AL235" s="213"/>
      <c r="AM235" s="213"/>
      <c r="AN235" s="213"/>
      <c r="AO235" s="213"/>
      <c r="AP235" s="214"/>
    </row>
    <row r="236" spans="2:42" ht="15.75" x14ac:dyDescent="0.25">
      <c r="B236" s="208"/>
      <c r="C236" s="208"/>
      <c r="D236" s="208"/>
      <c r="E236" s="208"/>
      <c r="F236" s="208"/>
      <c r="G236" s="208"/>
      <c r="H236" s="208"/>
      <c r="I236" s="208"/>
      <c r="J236" s="208"/>
      <c r="K236" s="208"/>
      <c r="L236" s="208"/>
      <c r="M236" s="125"/>
      <c r="N236" s="125"/>
      <c r="O236" s="125"/>
      <c r="P236" s="125"/>
      <c r="Q236" s="125"/>
      <c r="R236" s="188"/>
      <c r="S236" s="189"/>
      <c r="T236" s="189"/>
      <c r="U236" s="189"/>
      <c r="AF236" s="213"/>
      <c r="AG236" s="213"/>
      <c r="AH236" s="213"/>
      <c r="AI236" s="213"/>
      <c r="AJ236" s="213"/>
      <c r="AK236" s="213"/>
      <c r="AL236" s="213"/>
      <c r="AM236" s="213"/>
      <c r="AN236" s="213"/>
      <c r="AO236" s="213"/>
      <c r="AP236" s="214"/>
    </row>
    <row r="237" spans="2:42" ht="15.75" x14ac:dyDescent="0.25">
      <c r="B237" s="208"/>
      <c r="C237" s="208"/>
      <c r="D237" s="208"/>
      <c r="E237" s="208"/>
      <c r="F237" s="208"/>
      <c r="G237" s="208"/>
      <c r="H237" s="208"/>
      <c r="I237" s="208"/>
      <c r="J237" s="208"/>
      <c r="K237" s="208"/>
      <c r="L237" s="208"/>
      <c r="M237" s="125"/>
      <c r="N237" s="125"/>
      <c r="O237" s="125"/>
      <c r="P237" s="125"/>
      <c r="Q237" s="125"/>
      <c r="R237" s="188"/>
      <c r="S237" s="189"/>
      <c r="T237" s="189"/>
      <c r="U237" s="189"/>
      <c r="AF237" s="213"/>
      <c r="AG237" s="213"/>
      <c r="AH237" s="213"/>
      <c r="AI237" s="213"/>
      <c r="AJ237" s="213"/>
      <c r="AK237" s="213"/>
      <c r="AL237" s="213"/>
      <c r="AM237" s="213"/>
      <c r="AN237" s="213"/>
      <c r="AO237" s="213"/>
      <c r="AP237" s="214"/>
    </row>
    <row r="238" spans="2:42" ht="15.75" x14ac:dyDescent="0.25">
      <c r="B238" s="208"/>
      <c r="C238" s="208"/>
      <c r="D238" s="208"/>
      <c r="E238" s="208"/>
      <c r="F238" s="208"/>
      <c r="G238" s="208"/>
      <c r="H238" s="208"/>
      <c r="I238" s="208"/>
      <c r="J238" s="208"/>
      <c r="K238" s="208"/>
      <c r="L238" s="208"/>
      <c r="M238" s="125"/>
      <c r="N238" s="125"/>
      <c r="O238" s="125"/>
      <c r="P238" s="125"/>
      <c r="Q238" s="125"/>
      <c r="R238" s="188"/>
      <c r="S238" s="189"/>
      <c r="T238" s="189"/>
      <c r="U238" s="189"/>
      <c r="AF238" s="213"/>
      <c r="AG238" s="213"/>
      <c r="AH238" s="213"/>
      <c r="AI238" s="213"/>
      <c r="AJ238" s="213"/>
      <c r="AK238" s="213"/>
      <c r="AL238" s="213"/>
      <c r="AM238" s="213"/>
      <c r="AN238" s="213"/>
      <c r="AO238" s="213"/>
      <c r="AP238" s="214"/>
    </row>
    <row r="239" spans="2:42" ht="15.75" x14ac:dyDescent="0.25">
      <c r="B239" s="208"/>
      <c r="C239" s="208"/>
      <c r="D239" s="208"/>
      <c r="E239" s="208"/>
      <c r="F239" s="208"/>
      <c r="G239" s="208"/>
      <c r="H239" s="208"/>
      <c r="I239" s="208"/>
      <c r="J239" s="208"/>
      <c r="K239" s="208"/>
      <c r="L239" s="208"/>
      <c r="M239" s="125"/>
      <c r="N239" s="125"/>
      <c r="O239" s="125"/>
      <c r="P239" s="125"/>
      <c r="Q239" s="125"/>
      <c r="R239" s="188"/>
      <c r="S239" s="189"/>
      <c r="T239" s="189"/>
      <c r="U239" s="189"/>
      <c r="AF239" s="213"/>
      <c r="AG239" s="213"/>
      <c r="AH239" s="213"/>
      <c r="AI239" s="213"/>
      <c r="AJ239" s="213"/>
      <c r="AK239" s="213"/>
      <c r="AL239" s="213"/>
      <c r="AM239" s="213"/>
      <c r="AN239" s="213"/>
      <c r="AO239" s="213"/>
      <c r="AP239" s="214"/>
    </row>
    <row r="240" spans="2:42" ht="15.75" x14ac:dyDescent="0.25">
      <c r="B240" s="208"/>
      <c r="C240" s="208"/>
      <c r="D240" s="208"/>
      <c r="E240" s="208"/>
      <c r="F240" s="208"/>
      <c r="G240" s="208"/>
      <c r="H240" s="208"/>
      <c r="I240" s="208"/>
      <c r="J240" s="208"/>
      <c r="K240" s="208"/>
      <c r="L240" s="208"/>
      <c r="M240" s="125"/>
      <c r="N240" s="125"/>
      <c r="O240" s="125"/>
      <c r="P240" s="125"/>
      <c r="Q240" s="125"/>
      <c r="R240" s="188"/>
      <c r="S240" s="189"/>
      <c r="T240" s="189"/>
      <c r="U240" s="189"/>
      <c r="AF240" s="213"/>
      <c r="AG240" s="213"/>
      <c r="AH240" s="213"/>
      <c r="AI240" s="213"/>
      <c r="AJ240" s="213"/>
      <c r="AK240" s="213"/>
      <c r="AL240" s="213"/>
      <c r="AM240" s="213"/>
      <c r="AN240" s="213"/>
      <c r="AO240" s="213"/>
      <c r="AP240" s="214"/>
    </row>
    <row r="241" spans="2:42" ht="15.75" x14ac:dyDescent="0.25">
      <c r="B241" s="208"/>
      <c r="C241" s="208"/>
      <c r="D241" s="208"/>
      <c r="E241" s="208"/>
      <c r="F241" s="208"/>
      <c r="G241" s="208"/>
      <c r="H241" s="208"/>
      <c r="I241" s="208"/>
      <c r="J241" s="208"/>
      <c r="K241" s="208"/>
      <c r="L241" s="208"/>
      <c r="M241" s="125"/>
      <c r="N241" s="125"/>
      <c r="O241" s="125"/>
      <c r="P241" s="125"/>
      <c r="Q241" s="125"/>
      <c r="R241" s="188"/>
      <c r="S241" s="189"/>
      <c r="T241" s="189"/>
      <c r="U241" s="189"/>
      <c r="AF241" s="213"/>
      <c r="AG241" s="213"/>
      <c r="AH241" s="213"/>
      <c r="AI241" s="213"/>
      <c r="AJ241" s="213"/>
      <c r="AK241" s="213"/>
      <c r="AL241" s="213"/>
      <c r="AM241" s="213"/>
      <c r="AN241" s="213"/>
      <c r="AO241" s="213"/>
      <c r="AP241" s="214"/>
    </row>
    <row r="242" spans="2:42" ht="15.75" x14ac:dyDescent="0.25">
      <c r="B242" s="208"/>
      <c r="C242" s="208"/>
      <c r="D242" s="208"/>
      <c r="E242" s="208"/>
      <c r="F242" s="208"/>
      <c r="G242" s="208"/>
      <c r="H242" s="208"/>
      <c r="I242" s="208"/>
      <c r="J242" s="208"/>
      <c r="K242" s="208"/>
      <c r="L242" s="208"/>
      <c r="M242" s="125"/>
      <c r="N242" s="125"/>
      <c r="O242" s="125"/>
      <c r="P242" s="125"/>
      <c r="Q242" s="125"/>
      <c r="R242" s="188"/>
      <c r="S242" s="189"/>
      <c r="T242" s="189"/>
      <c r="U242" s="189"/>
      <c r="AF242" s="213"/>
      <c r="AG242" s="213"/>
      <c r="AH242" s="213"/>
      <c r="AI242" s="213"/>
      <c r="AJ242" s="213"/>
      <c r="AK242" s="213"/>
      <c r="AL242" s="213"/>
      <c r="AM242" s="213"/>
      <c r="AN242" s="213"/>
      <c r="AO242" s="213"/>
      <c r="AP242" s="214"/>
    </row>
    <row r="243" spans="2:42" ht="15.75" x14ac:dyDescent="0.25">
      <c r="B243" s="208"/>
      <c r="C243" s="208"/>
      <c r="D243" s="208"/>
      <c r="E243" s="208"/>
      <c r="F243" s="208"/>
      <c r="G243" s="208"/>
      <c r="H243" s="208"/>
      <c r="I243" s="208"/>
      <c r="J243" s="208"/>
      <c r="K243" s="208"/>
      <c r="L243" s="208"/>
      <c r="M243" s="125"/>
      <c r="N243" s="125"/>
      <c r="O243" s="125"/>
      <c r="P243" s="125"/>
      <c r="Q243" s="125"/>
      <c r="R243" s="188"/>
      <c r="S243" s="189"/>
      <c r="T243" s="189"/>
      <c r="U243" s="189"/>
      <c r="AF243" s="213"/>
      <c r="AG243" s="213"/>
      <c r="AH243" s="213"/>
      <c r="AI243" s="213"/>
      <c r="AJ243" s="213"/>
      <c r="AK243" s="213"/>
      <c r="AL243" s="213"/>
      <c r="AM243" s="213"/>
      <c r="AN243" s="213"/>
      <c r="AO243" s="213"/>
      <c r="AP243" s="214"/>
    </row>
    <row r="244" spans="2:42" ht="15.75" x14ac:dyDescent="0.25">
      <c r="B244" s="208"/>
      <c r="C244" s="208"/>
      <c r="D244" s="208"/>
      <c r="E244" s="208"/>
      <c r="F244" s="208"/>
      <c r="G244" s="208"/>
      <c r="H244" s="208"/>
      <c r="I244" s="208"/>
      <c r="J244" s="208"/>
      <c r="K244" s="208"/>
      <c r="L244" s="208"/>
      <c r="M244" s="125"/>
      <c r="N244" s="125"/>
      <c r="O244" s="125"/>
      <c r="P244" s="125"/>
      <c r="Q244" s="125"/>
      <c r="R244" s="188"/>
      <c r="S244" s="189"/>
      <c r="T244" s="189"/>
      <c r="U244" s="189"/>
      <c r="AF244" s="213"/>
      <c r="AG244" s="213"/>
      <c r="AH244" s="213"/>
      <c r="AI244" s="213"/>
      <c r="AJ244" s="213"/>
      <c r="AK244" s="213"/>
      <c r="AL244" s="213"/>
      <c r="AM244" s="213"/>
      <c r="AN244" s="213"/>
      <c r="AO244" s="213"/>
      <c r="AP244" s="214"/>
    </row>
    <row r="245" spans="2:42" ht="15.75" x14ac:dyDescent="0.25">
      <c r="B245" s="208"/>
      <c r="C245" s="208"/>
      <c r="D245" s="208"/>
      <c r="E245" s="208"/>
      <c r="F245" s="208"/>
      <c r="G245" s="208"/>
      <c r="H245" s="208"/>
      <c r="I245" s="208"/>
      <c r="J245" s="208"/>
      <c r="K245" s="208"/>
      <c r="L245" s="208"/>
      <c r="M245" s="125"/>
      <c r="N245" s="125"/>
      <c r="O245" s="125"/>
      <c r="P245" s="125"/>
      <c r="Q245" s="125"/>
      <c r="R245" s="188"/>
      <c r="S245" s="189"/>
      <c r="T245" s="189"/>
      <c r="U245" s="189"/>
      <c r="AF245" s="213"/>
      <c r="AG245" s="213"/>
      <c r="AH245" s="213"/>
      <c r="AI245" s="213"/>
      <c r="AJ245" s="213"/>
      <c r="AK245" s="213"/>
      <c r="AL245" s="213"/>
      <c r="AM245" s="213"/>
      <c r="AN245" s="213"/>
      <c r="AO245" s="213"/>
      <c r="AP245" s="214"/>
    </row>
    <row r="246" spans="2:42" ht="15.75" x14ac:dyDescent="0.25">
      <c r="B246" s="208"/>
      <c r="C246" s="208"/>
      <c r="D246" s="208"/>
      <c r="E246" s="208"/>
      <c r="F246" s="208"/>
      <c r="G246" s="208"/>
      <c r="H246" s="208"/>
      <c r="I246" s="208"/>
      <c r="J246" s="208"/>
      <c r="K246" s="208"/>
      <c r="L246" s="208"/>
      <c r="M246" s="125"/>
      <c r="N246" s="125"/>
      <c r="O246" s="125"/>
      <c r="P246" s="125"/>
      <c r="Q246" s="125"/>
      <c r="R246" s="188"/>
      <c r="S246" s="189"/>
      <c r="T246" s="189"/>
      <c r="U246" s="189"/>
      <c r="AF246" s="213"/>
      <c r="AG246" s="213"/>
      <c r="AH246" s="213"/>
      <c r="AI246" s="213"/>
      <c r="AJ246" s="213"/>
      <c r="AK246" s="213"/>
      <c r="AL246" s="213"/>
      <c r="AM246" s="213"/>
      <c r="AN246" s="213"/>
      <c r="AO246" s="213"/>
      <c r="AP246" s="214"/>
    </row>
    <row r="247" spans="2:42" ht="15.75" x14ac:dyDescent="0.25">
      <c r="B247" s="208"/>
      <c r="C247" s="208"/>
      <c r="D247" s="208"/>
      <c r="E247" s="208"/>
      <c r="F247" s="208"/>
      <c r="G247" s="208"/>
      <c r="H247" s="208"/>
      <c r="I247" s="208"/>
      <c r="J247" s="208"/>
      <c r="K247" s="208"/>
      <c r="L247" s="208"/>
      <c r="M247" s="125"/>
      <c r="N247" s="125"/>
      <c r="O247" s="125"/>
      <c r="P247" s="125"/>
      <c r="Q247" s="125"/>
      <c r="R247" s="188"/>
      <c r="S247" s="189"/>
      <c r="T247" s="189"/>
      <c r="U247" s="189"/>
      <c r="AF247" s="213"/>
      <c r="AG247" s="213"/>
      <c r="AH247" s="213"/>
      <c r="AI247" s="213"/>
      <c r="AJ247" s="213"/>
      <c r="AK247" s="213"/>
      <c r="AL247" s="213"/>
      <c r="AM247" s="213"/>
      <c r="AN247" s="213"/>
      <c r="AO247" s="213"/>
      <c r="AP247" s="214"/>
    </row>
    <row r="248" spans="2:42" ht="15.75" x14ac:dyDescent="0.25">
      <c r="B248" s="208"/>
      <c r="C248" s="208"/>
      <c r="D248" s="208"/>
      <c r="E248" s="208"/>
      <c r="F248" s="208"/>
      <c r="G248" s="208"/>
      <c r="H248" s="208"/>
      <c r="I248" s="208"/>
      <c r="J248" s="208"/>
      <c r="K248" s="208"/>
      <c r="L248" s="208"/>
      <c r="M248" s="125"/>
      <c r="N248" s="125"/>
      <c r="O248" s="125"/>
      <c r="P248" s="125"/>
      <c r="Q248" s="125"/>
      <c r="R248" s="188"/>
      <c r="S248" s="189"/>
      <c r="T248" s="189"/>
      <c r="U248" s="189"/>
      <c r="AF248" s="213"/>
      <c r="AG248" s="213"/>
      <c r="AH248" s="213"/>
      <c r="AI248" s="213"/>
      <c r="AJ248" s="213"/>
      <c r="AK248" s="213"/>
      <c r="AL248" s="213"/>
      <c r="AM248" s="213"/>
      <c r="AN248" s="213"/>
      <c r="AO248" s="213"/>
      <c r="AP248" s="214"/>
    </row>
    <row r="249" spans="2:42" ht="15.75" x14ac:dyDescent="0.25">
      <c r="B249" s="208"/>
      <c r="C249" s="208"/>
      <c r="D249" s="208"/>
      <c r="E249" s="208"/>
      <c r="F249" s="208"/>
      <c r="G249" s="208"/>
      <c r="H249" s="208"/>
      <c r="I249" s="208"/>
      <c r="J249" s="208"/>
      <c r="K249" s="208"/>
      <c r="L249" s="208"/>
      <c r="M249" s="125"/>
      <c r="N249" s="125"/>
      <c r="O249" s="125"/>
      <c r="P249" s="125"/>
      <c r="Q249" s="125"/>
      <c r="R249" s="188"/>
      <c r="S249" s="189"/>
      <c r="T249" s="189"/>
      <c r="U249" s="189"/>
      <c r="AF249" s="213"/>
      <c r="AG249" s="213"/>
      <c r="AH249" s="213"/>
      <c r="AI249" s="213"/>
      <c r="AJ249" s="213"/>
      <c r="AK249" s="213"/>
      <c r="AL249" s="213"/>
      <c r="AM249" s="213"/>
      <c r="AN249" s="213"/>
      <c r="AO249" s="213"/>
      <c r="AP249" s="214"/>
    </row>
    <row r="250" spans="2:42" ht="15.75" x14ac:dyDescent="0.25">
      <c r="B250" s="208"/>
      <c r="C250" s="208"/>
      <c r="D250" s="208"/>
      <c r="E250" s="208"/>
      <c r="F250" s="208"/>
      <c r="G250" s="208"/>
      <c r="H250" s="208"/>
      <c r="I250" s="208"/>
      <c r="J250" s="208"/>
      <c r="K250" s="208"/>
      <c r="L250" s="208"/>
      <c r="M250" s="125"/>
      <c r="N250" s="125"/>
      <c r="O250" s="125"/>
      <c r="P250" s="125"/>
      <c r="Q250" s="125"/>
      <c r="R250" s="188"/>
      <c r="S250" s="189"/>
      <c r="T250" s="189"/>
      <c r="U250" s="189"/>
      <c r="AF250" s="213"/>
      <c r="AG250" s="213"/>
      <c r="AH250" s="213"/>
      <c r="AI250" s="213"/>
      <c r="AJ250" s="213"/>
      <c r="AK250" s="213"/>
      <c r="AL250" s="213"/>
      <c r="AM250" s="213"/>
      <c r="AN250" s="213"/>
      <c r="AO250" s="213"/>
      <c r="AP250" s="214"/>
    </row>
    <row r="251" spans="2:42" ht="15.75" x14ac:dyDescent="0.25">
      <c r="B251" s="208"/>
      <c r="C251" s="208"/>
      <c r="D251" s="208"/>
      <c r="E251" s="208"/>
      <c r="F251" s="208"/>
      <c r="G251" s="208"/>
      <c r="H251" s="208"/>
      <c r="I251" s="208"/>
      <c r="J251" s="208"/>
      <c r="K251" s="208"/>
      <c r="L251" s="208"/>
      <c r="M251" s="125"/>
      <c r="N251" s="125"/>
      <c r="O251" s="125"/>
      <c r="P251" s="125"/>
      <c r="Q251" s="125"/>
      <c r="R251" s="188"/>
      <c r="S251" s="189"/>
      <c r="T251" s="189"/>
      <c r="U251" s="189"/>
      <c r="AF251" s="213"/>
      <c r="AG251" s="213"/>
      <c r="AH251" s="213"/>
      <c r="AI251" s="213"/>
      <c r="AJ251" s="213"/>
      <c r="AK251" s="213"/>
      <c r="AL251" s="213"/>
      <c r="AM251" s="213"/>
      <c r="AN251" s="213"/>
      <c r="AO251" s="213"/>
      <c r="AP251" s="214"/>
    </row>
    <row r="252" spans="2:42" ht="15.75" x14ac:dyDescent="0.25">
      <c r="B252" s="208"/>
      <c r="C252" s="208"/>
      <c r="D252" s="208"/>
      <c r="E252" s="208"/>
      <c r="F252" s="208"/>
      <c r="G252" s="208"/>
      <c r="H252" s="208"/>
      <c r="I252" s="208"/>
      <c r="J252" s="208"/>
      <c r="K252" s="208"/>
      <c r="L252" s="208"/>
      <c r="M252" s="125"/>
      <c r="N252" s="125"/>
      <c r="O252" s="125"/>
      <c r="P252" s="125"/>
      <c r="Q252" s="125"/>
      <c r="R252" s="188"/>
      <c r="S252" s="189"/>
      <c r="T252" s="189"/>
      <c r="U252" s="189"/>
      <c r="AF252" s="213"/>
      <c r="AG252" s="213"/>
      <c r="AH252" s="213"/>
      <c r="AI252" s="213"/>
      <c r="AJ252" s="213"/>
      <c r="AK252" s="213"/>
      <c r="AL252" s="213"/>
      <c r="AM252" s="213"/>
      <c r="AN252" s="213"/>
      <c r="AO252" s="213"/>
      <c r="AP252" s="214"/>
    </row>
    <row r="253" spans="2:42" ht="15.75" x14ac:dyDescent="0.25">
      <c r="B253" s="208"/>
      <c r="C253" s="208"/>
      <c r="D253" s="208"/>
      <c r="E253" s="208"/>
      <c r="F253" s="208"/>
      <c r="G253" s="208"/>
      <c r="H253" s="208"/>
      <c r="I253" s="208"/>
      <c r="J253" s="208"/>
      <c r="K253" s="208"/>
      <c r="L253" s="208"/>
      <c r="M253" s="125"/>
      <c r="N253" s="125"/>
      <c r="O253" s="125"/>
      <c r="P253" s="125"/>
      <c r="Q253" s="125"/>
      <c r="R253" s="188"/>
      <c r="S253" s="189"/>
      <c r="T253" s="189"/>
      <c r="U253" s="189"/>
      <c r="AF253" s="213"/>
      <c r="AG253" s="213"/>
      <c r="AH253" s="213"/>
      <c r="AI253" s="213"/>
      <c r="AJ253" s="213"/>
      <c r="AK253" s="213"/>
      <c r="AL253" s="213"/>
      <c r="AM253" s="213"/>
      <c r="AN253" s="213"/>
      <c r="AO253" s="213"/>
      <c r="AP253" s="214"/>
    </row>
    <row r="254" spans="2:42" ht="15.75" x14ac:dyDescent="0.25">
      <c r="B254" s="208"/>
      <c r="C254" s="208"/>
      <c r="D254" s="208"/>
      <c r="E254" s="208"/>
      <c r="F254" s="208"/>
      <c r="G254" s="208"/>
      <c r="H254" s="208"/>
      <c r="I254" s="208"/>
      <c r="J254" s="208"/>
      <c r="K254" s="208"/>
      <c r="L254" s="208"/>
      <c r="M254" s="125"/>
      <c r="N254" s="125"/>
      <c r="O254" s="125"/>
      <c r="P254" s="125"/>
      <c r="Q254" s="125"/>
      <c r="R254" s="188"/>
      <c r="S254" s="189"/>
      <c r="T254" s="189"/>
      <c r="U254" s="189"/>
      <c r="AF254" s="213"/>
      <c r="AG254" s="213"/>
      <c r="AH254" s="213"/>
      <c r="AI254" s="213"/>
      <c r="AJ254" s="213"/>
      <c r="AK254" s="213"/>
      <c r="AL254" s="213"/>
      <c r="AM254" s="213"/>
      <c r="AN254" s="213"/>
      <c r="AO254" s="213"/>
      <c r="AP254" s="214"/>
    </row>
    <row r="255" spans="2:42" ht="15.75" x14ac:dyDescent="0.25">
      <c r="B255" s="208"/>
      <c r="C255" s="208"/>
      <c r="D255" s="208"/>
      <c r="E255" s="208"/>
      <c r="F255" s="208"/>
      <c r="G255" s="208"/>
      <c r="H255" s="208"/>
      <c r="I255" s="208"/>
      <c r="J255" s="208"/>
      <c r="K255" s="208"/>
      <c r="L255" s="208"/>
      <c r="M255" s="125"/>
      <c r="N255" s="125"/>
      <c r="O255" s="125"/>
      <c r="P255" s="125"/>
      <c r="Q255" s="125"/>
      <c r="R255" s="188"/>
      <c r="S255" s="189"/>
      <c r="T255" s="189"/>
      <c r="U255" s="189"/>
      <c r="AF255" s="213"/>
      <c r="AG255" s="213"/>
      <c r="AH255" s="213"/>
      <c r="AI255" s="213"/>
      <c r="AJ255" s="213"/>
      <c r="AK255" s="213"/>
      <c r="AL255" s="213"/>
      <c r="AM255" s="213"/>
      <c r="AN255" s="213"/>
      <c r="AO255" s="213"/>
      <c r="AP255" s="214"/>
    </row>
    <row r="256" spans="2:42" ht="15.75" x14ac:dyDescent="0.25">
      <c r="B256" s="208"/>
      <c r="C256" s="208"/>
      <c r="D256" s="208"/>
      <c r="E256" s="208"/>
      <c r="F256" s="208"/>
      <c r="G256" s="208"/>
      <c r="H256" s="208"/>
      <c r="I256" s="208"/>
      <c r="J256" s="208"/>
      <c r="K256" s="208"/>
      <c r="L256" s="208"/>
      <c r="M256" s="125"/>
      <c r="N256" s="125"/>
      <c r="O256" s="125"/>
      <c r="P256" s="125"/>
      <c r="Q256" s="125"/>
      <c r="R256" s="188"/>
      <c r="S256" s="189"/>
      <c r="T256" s="189"/>
      <c r="U256" s="189"/>
      <c r="AF256" s="213"/>
      <c r="AG256" s="213"/>
      <c r="AH256" s="213"/>
      <c r="AI256" s="213"/>
      <c r="AJ256" s="213"/>
      <c r="AK256" s="213"/>
      <c r="AL256" s="213"/>
      <c r="AM256" s="213"/>
      <c r="AN256" s="213"/>
      <c r="AO256" s="213"/>
      <c r="AP256" s="214"/>
    </row>
    <row r="257" spans="2:42" ht="15.75" x14ac:dyDescent="0.25">
      <c r="B257" s="208"/>
      <c r="C257" s="208"/>
      <c r="D257" s="208"/>
      <c r="E257" s="208"/>
      <c r="F257" s="208"/>
      <c r="G257" s="208"/>
      <c r="H257" s="208"/>
      <c r="I257" s="208"/>
      <c r="J257" s="208"/>
      <c r="K257" s="208"/>
      <c r="L257" s="208"/>
      <c r="M257" s="125"/>
      <c r="N257" s="125"/>
      <c r="O257" s="125"/>
      <c r="P257" s="125"/>
      <c r="Q257" s="125"/>
      <c r="R257" s="188"/>
      <c r="S257" s="189"/>
      <c r="T257" s="189"/>
      <c r="U257" s="189"/>
      <c r="AF257" s="213"/>
      <c r="AG257" s="213"/>
      <c r="AH257" s="213"/>
      <c r="AI257" s="213"/>
      <c r="AJ257" s="213"/>
      <c r="AK257" s="213"/>
      <c r="AL257" s="213"/>
      <c r="AM257" s="213"/>
      <c r="AN257" s="213"/>
      <c r="AO257" s="213"/>
      <c r="AP257" s="214"/>
    </row>
    <row r="258" spans="2:42" ht="15.75" x14ac:dyDescent="0.25">
      <c r="B258" s="208"/>
      <c r="C258" s="208"/>
      <c r="D258" s="208"/>
      <c r="E258" s="208"/>
      <c r="F258" s="208"/>
      <c r="G258" s="208"/>
      <c r="H258" s="208"/>
      <c r="I258" s="208"/>
      <c r="J258" s="208"/>
      <c r="K258" s="208"/>
      <c r="L258" s="208"/>
      <c r="M258" s="125"/>
      <c r="N258" s="125"/>
      <c r="O258" s="125"/>
      <c r="P258" s="125"/>
      <c r="Q258" s="125"/>
      <c r="R258" s="188"/>
      <c r="S258" s="189"/>
      <c r="T258" s="189"/>
      <c r="U258" s="189"/>
      <c r="AF258" s="213"/>
      <c r="AG258" s="213"/>
      <c r="AH258" s="213"/>
      <c r="AI258" s="213"/>
      <c r="AJ258" s="213"/>
      <c r="AK258" s="213"/>
      <c r="AL258" s="213"/>
      <c r="AM258" s="213"/>
      <c r="AN258" s="213"/>
      <c r="AO258" s="213"/>
      <c r="AP258" s="214"/>
    </row>
    <row r="259" spans="2:42" ht="15.75" x14ac:dyDescent="0.25">
      <c r="B259" s="208"/>
      <c r="C259" s="208"/>
      <c r="D259" s="208"/>
      <c r="E259" s="208"/>
      <c r="F259" s="208"/>
      <c r="G259" s="208"/>
      <c r="H259" s="208"/>
      <c r="I259" s="208"/>
      <c r="J259" s="208"/>
      <c r="K259" s="208"/>
      <c r="L259" s="208"/>
      <c r="M259" s="125"/>
      <c r="N259" s="125"/>
      <c r="O259" s="125"/>
      <c r="P259" s="125"/>
      <c r="Q259" s="125"/>
      <c r="R259" s="188"/>
      <c r="S259" s="189"/>
      <c r="T259" s="189"/>
      <c r="U259" s="189"/>
      <c r="AF259" s="213"/>
      <c r="AG259" s="213"/>
      <c r="AH259" s="213"/>
      <c r="AI259" s="213"/>
      <c r="AJ259" s="213"/>
      <c r="AK259" s="213"/>
      <c r="AL259" s="213"/>
      <c r="AM259" s="213"/>
      <c r="AN259" s="213"/>
      <c r="AO259" s="213"/>
      <c r="AP259" s="214"/>
    </row>
    <row r="260" spans="2:42" ht="15.75" x14ac:dyDescent="0.25">
      <c r="B260" s="208"/>
      <c r="C260" s="208"/>
      <c r="D260" s="208"/>
      <c r="E260" s="208"/>
      <c r="F260" s="208"/>
      <c r="G260" s="208"/>
      <c r="H260" s="208"/>
      <c r="I260" s="208"/>
      <c r="J260" s="208"/>
      <c r="K260" s="208"/>
      <c r="L260" s="208"/>
      <c r="M260" s="125"/>
      <c r="N260" s="125"/>
      <c r="O260" s="125"/>
      <c r="P260" s="125"/>
      <c r="Q260" s="125"/>
      <c r="R260" s="188"/>
      <c r="S260" s="189"/>
      <c r="T260" s="189"/>
      <c r="U260" s="189"/>
      <c r="AF260" s="213"/>
      <c r="AG260" s="213"/>
      <c r="AH260" s="213"/>
      <c r="AI260" s="213"/>
      <c r="AJ260" s="213"/>
      <c r="AK260" s="213"/>
      <c r="AL260" s="213"/>
      <c r="AM260" s="213"/>
      <c r="AN260" s="213"/>
      <c r="AO260" s="213"/>
      <c r="AP260" s="214"/>
    </row>
    <row r="261" spans="2:42" ht="15.75" x14ac:dyDescent="0.25">
      <c r="B261" s="208"/>
      <c r="C261" s="208"/>
      <c r="D261" s="208"/>
      <c r="E261" s="208"/>
      <c r="F261" s="208"/>
      <c r="G261" s="208"/>
      <c r="H261" s="208"/>
      <c r="I261" s="208"/>
      <c r="J261" s="208"/>
      <c r="K261" s="208"/>
      <c r="L261" s="208"/>
      <c r="M261" s="125"/>
      <c r="N261" s="125"/>
      <c r="O261" s="125"/>
      <c r="P261" s="125"/>
      <c r="Q261" s="125"/>
      <c r="R261" s="188"/>
      <c r="S261" s="189"/>
      <c r="T261" s="189"/>
      <c r="U261" s="189"/>
      <c r="AF261" s="213"/>
      <c r="AG261" s="213"/>
      <c r="AH261" s="213"/>
      <c r="AI261" s="213"/>
      <c r="AJ261" s="213"/>
      <c r="AK261" s="213"/>
      <c r="AL261" s="213"/>
      <c r="AM261" s="213"/>
      <c r="AN261" s="213"/>
      <c r="AO261" s="213"/>
      <c r="AP261" s="214"/>
    </row>
    <row r="262" spans="2:42" ht="15.75" x14ac:dyDescent="0.25">
      <c r="B262" s="208"/>
      <c r="C262" s="208"/>
      <c r="D262" s="208"/>
      <c r="E262" s="208"/>
      <c r="F262" s="208"/>
      <c r="G262" s="208"/>
      <c r="H262" s="208"/>
      <c r="I262" s="208"/>
      <c r="J262" s="208"/>
      <c r="K262" s="208"/>
      <c r="L262" s="208"/>
      <c r="M262" s="125"/>
      <c r="N262" s="125"/>
      <c r="O262" s="125"/>
      <c r="P262" s="125"/>
      <c r="Q262" s="125"/>
      <c r="R262" s="188"/>
      <c r="S262" s="189"/>
      <c r="T262" s="189"/>
      <c r="U262" s="189"/>
      <c r="AF262" s="213"/>
      <c r="AG262" s="213"/>
      <c r="AH262" s="213"/>
      <c r="AI262" s="213"/>
      <c r="AJ262" s="213"/>
      <c r="AK262" s="213"/>
      <c r="AL262" s="213"/>
      <c r="AM262" s="213"/>
      <c r="AN262" s="213"/>
      <c r="AO262" s="213"/>
      <c r="AP262" s="214"/>
    </row>
    <row r="263" spans="2:42" ht="15.75" x14ac:dyDescent="0.25">
      <c r="B263" s="208"/>
      <c r="C263" s="208"/>
      <c r="D263" s="208"/>
      <c r="E263" s="208"/>
      <c r="F263" s="208"/>
      <c r="G263" s="208"/>
      <c r="H263" s="208"/>
      <c r="I263" s="208"/>
      <c r="J263" s="208"/>
      <c r="K263" s="208"/>
      <c r="L263" s="208"/>
      <c r="M263" s="125"/>
      <c r="N263" s="125"/>
      <c r="O263" s="125"/>
      <c r="P263" s="125"/>
      <c r="Q263" s="125"/>
      <c r="R263" s="188"/>
      <c r="S263" s="189"/>
      <c r="T263" s="189"/>
      <c r="U263" s="189"/>
      <c r="AF263" s="213"/>
      <c r="AG263" s="213"/>
      <c r="AH263" s="213"/>
      <c r="AI263" s="213"/>
      <c r="AJ263" s="213"/>
      <c r="AK263" s="213"/>
      <c r="AL263" s="213"/>
      <c r="AM263" s="213"/>
      <c r="AN263" s="213"/>
      <c r="AO263" s="213"/>
      <c r="AP263" s="214"/>
    </row>
    <row r="264" spans="2:42" ht="15.75" x14ac:dyDescent="0.25">
      <c r="B264" s="208"/>
      <c r="C264" s="208"/>
      <c r="D264" s="208"/>
      <c r="E264" s="208"/>
      <c r="F264" s="208"/>
      <c r="G264" s="208"/>
      <c r="H264" s="208"/>
      <c r="I264" s="208"/>
      <c r="J264" s="208"/>
      <c r="K264" s="208"/>
      <c r="L264" s="208"/>
      <c r="M264" s="125"/>
      <c r="N264" s="125"/>
      <c r="O264" s="125"/>
      <c r="P264" s="125"/>
      <c r="Q264" s="125"/>
      <c r="R264" s="188"/>
      <c r="S264" s="189"/>
      <c r="T264" s="189"/>
      <c r="U264" s="189"/>
      <c r="AF264" s="213"/>
      <c r="AG264" s="213"/>
      <c r="AH264" s="213"/>
      <c r="AI264" s="213"/>
      <c r="AJ264" s="213"/>
      <c r="AK264" s="213"/>
      <c r="AL264" s="213"/>
      <c r="AM264" s="213"/>
      <c r="AN264" s="213"/>
      <c r="AO264" s="213"/>
      <c r="AP264" s="214"/>
    </row>
    <row r="265" spans="2:42" ht="15.75" x14ac:dyDescent="0.25">
      <c r="B265" s="208"/>
      <c r="C265" s="208"/>
      <c r="D265" s="208"/>
      <c r="E265" s="208"/>
      <c r="F265" s="208"/>
      <c r="G265" s="208"/>
      <c r="H265" s="208"/>
      <c r="I265" s="208"/>
      <c r="J265" s="208"/>
      <c r="K265" s="208"/>
      <c r="L265" s="208"/>
      <c r="M265" s="125"/>
      <c r="N265" s="125"/>
      <c r="O265" s="125"/>
      <c r="P265" s="125"/>
      <c r="Q265" s="125"/>
      <c r="R265" s="188"/>
      <c r="S265" s="189"/>
      <c r="T265" s="189"/>
      <c r="U265" s="189"/>
      <c r="AF265" s="213"/>
      <c r="AG265" s="213"/>
      <c r="AH265" s="213"/>
      <c r="AI265" s="213"/>
      <c r="AJ265" s="213"/>
      <c r="AK265" s="213"/>
      <c r="AL265" s="213"/>
      <c r="AM265" s="213"/>
      <c r="AN265" s="213"/>
      <c r="AO265" s="213"/>
      <c r="AP265" s="214"/>
    </row>
    <row r="266" spans="2:42" ht="15.75" x14ac:dyDescent="0.25">
      <c r="B266" s="208"/>
      <c r="C266" s="208"/>
      <c r="D266" s="208"/>
      <c r="E266" s="208"/>
      <c r="F266" s="208"/>
      <c r="G266" s="208"/>
      <c r="H266" s="208"/>
      <c r="I266" s="208"/>
      <c r="J266" s="208"/>
      <c r="K266" s="208"/>
      <c r="L266" s="208"/>
      <c r="M266" s="125"/>
      <c r="N266" s="125"/>
      <c r="O266" s="125"/>
      <c r="P266" s="125"/>
      <c r="Q266" s="125"/>
      <c r="R266" s="188"/>
      <c r="S266" s="189"/>
      <c r="T266" s="189"/>
      <c r="U266" s="189"/>
      <c r="AF266" s="213"/>
      <c r="AG266" s="213"/>
      <c r="AH266" s="213"/>
      <c r="AI266" s="213"/>
      <c r="AJ266" s="213"/>
      <c r="AK266" s="213"/>
      <c r="AL266" s="213"/>
      <c r="AM266" s="213"/>
      <c r="AN266" s="213"/>
      <c r="AO266" s="213"/>
      <c r="AP266" s="214"/>
    </row>
    <row r="267" spans="2:42" ht="15.75" x14ac:dyDescent="0.25">
      <c r="B267" s="208"/>
      <c r="C267" s="208"/>
      <c r="D267" s="208"/>
      <c r="E267" s="208"/>
      <c r="F267" s="208"/>
      <c r="G267" s="208"/>
      <c r="H267" s="208"/>
      <c r="I267" s="208"/>
      <c r="J267" s="208"/>
      <c r="K267" s="208"/>
      <c r="L267" s="208"/>
      <c r="M267" s="125"/>
      <c r="N267" s="125"/>
      <c r="O267" s="125"/>
      <c r="P267" s="125"/>
      <c r="Q267" s="125"/>
      <c r="R267" s="188"/>
      <c r="S267" s="189"/>
      <c r="T267" s="189"/>
      <c r="U267" s="189"/>
      <c r="AF267" s="213"/>
      <c r="AG267" s="213"/>
      <c r="AH267" s="213"/>
      <c r="AI267" s="213"/>
      <c r="AJ267" s="213"/>
      <c r="AK267" s="213"/>
      <c r="AL267" s="213"/>
      <c r="AM267" s="213"/>
      <c r="AN267" s="213"/>
      <c r="AO267" s="213"/>
      <c r="AP267" s="214"/>
    </row>
    <row r="268" spans="2:42" ht="15.75" x14ac:dyDescent="0.25">
      <c r="B268" s="208"/>
      <c r="C268" s="208"/>
      <c r="D268" s="208"/>
      <c r="E268" s="208"/>
      <c r="F268" s="208"/>
      <c r="G268" s="208"/>
      <c r="H268" s="208"/>
      <c r="I268" s="208"/>
      <c r="J268" s="208"/>
      <c r="K268" s="208"/>
      <c r="L268" s="208"/>
      <c r="M268" s="125"/>
      <c r="N268" s="125"/>
      <c r="O268" s="125"/>
      <c r="P268" s="125"/>
      <c r="Q268" s="125"/>
      <c r="R268" s="188"/>
      <c r="S268" s="189"/>
      <c r="T268" s="189"/>
      <c r="U268" s="189"/>
      <c r="AF268" s="213"/>
      <c r="AG268" s="213"/>
      <c r="AH268" s="213"/>
      <c r="AI268" s="213"/>
      <c r="AJ268" s="213"/>
      <c r="AK268" s="213"/>
      <c r="AL268" s="213"/>
      <c r="AM268" s="213"/>
      <c r="AN268" s="213"/>
      <c r="AO268" s="213"/>
      <c r="AP268" s="214"/>
    </row>
    <row r="269" spans="2:42" ht="15.75" x14ac:dyDescent="0.25">
      <c r="B269" s="208"/>
      <c r="C269" s="208"/>
      <c r="D269" s="208"/>
      <c r="E269" s="208"/>
      <c r="F269" s="208"/>
      <c r="G269" s="208"/>
      <c r="H269" s="208"/>
      <c r="I269" s="208"/>
      <c r="J269" s="208"/>
      <c r="K269" s="208"/>
      <c r="L269" s="208"/>
      <c r="M269" s="125"/>
      <c r="N269" s="125"/>
      <c r="O269" s="125"/>
      <c r="P269" s="125"/>
      <c r="Q269" s="125"/>
      <c r="R269" s="188"/>
      <c r="S269" s="189"/>
      <c r="T269" s="189"/>
      <c r="U269" s="189"/>
      <c r="AF269" s="213"/>
      <c r="AG269" s="213"/>
      <c r="AH269" s="213"/>
      <c r="AI269" s="213"/>
      <c r="AJ269" s="213"/>
      <c r="AK269" s="213"/>
      <c r="AL269" s="213"/>
      <c r="AM269" s="213"/>
      <c r="AN269" s="213"/>
      <c r="AO269" s="213"/>
      <c r="AP269" s="214"/>
    </row>
    <row r="270" spans="2:42" ht="15.75" x14ac:dyDescent="0.25">
      <c r="B270" s="208"/>
      <c r="C270" s="208"/>
      <c r="D270" s="208"/>
      <c r="E270" s="208"/>
      <c r="F270" s="208"/>
      <c r="G270" s="208"/>
      <c r="H270" s="208"/>
      <c r="I270" s="208"/>
      <c r="J270" s="208"/>
      <c r="K270" s="208"/>
      <c r="L270" s="208"/>
      <c r="M270" s="125"/>
      <c r="N270" s="125"/>
      <c r="O270" s="125"/>
      <c r="P270" s="125"/>
      <c r="Q270" s="125"/>
      <c r="R270" s="188"/>
      <c r="S270" s="189"/>
      <c r="T270" s="189"/>
      <c r="U270" s="189"/>
      <c r="AF270" s="213"/>
      <c r="AG270" s="213"/>
      <c r="AH270" s="213"/>
      <c r="AI270" s="213"/>
      <c r="AJ270" s="213"/>
      <c r="AK270" s="213"/>
      <c r="AL270" s="213"/>
      <c r="AM270" s="213"/>
      <c r="AN270" s="213"/>
      <c r="AO270" s="213"/>
      <c r="AP270" s="214"/>
    </row>
    <row r="271" spans="2:42" ht="15.75" x14ac:dyDescent="0.25">
      <c r="B271" s="208"/>
      <c r="C271" s="208"/>
      <c r="D271" s="208"/>
      <c r="E271" s="208"/>
      <c r="F271" s="208"/>
      <c r="G271" s="208"/>
      <c r="H271" s="208"/>
      <c r="I271" s="208"/>
      <c r="J271" s="208"/>
      <c r="K271" s="208"/>
      <c r="L271" s="208"/>
      <c r="M271" s="125"/>
      <c r="N271" s="125"/>
      <c r="O271" s="125"/>
      <c r="P271" s="125"/>
      <c r="Q271" s="125"/>
      <c r="R271" s="188"/>
      <c r="S271" s="189"/>
      <c r="T271" s="189"/>
      <c r="U271" s="189"/>
      <c r="AF271" s="213"/>
      <c r="AG271" s="213"/>
      <c r="AH271" s="213"/>
      <c r="AI271" s="213"/>
      <c r="AJ271" s="213"/>
      <c r="AK271" s="213"/>
      <c r="AL271" s="213"/>
      <c r="AM271" s="213"/>
      <c r="AN271" s="213"/>
      <c r="AO271" s="213"/>
      <c r="AP271" s="214"/>
    </row>
    <row r="272" spans="2:42" ht="15.75" x14ac:dyDescent="0.25">
      <c r="B272" s="159"/>
      <c r="C272" s="208"/>
      <c r="D272" s="208"/>
      <c r="E272" s="208"/>
      <c r="F272" s="208"/>
      <c r="G272" s="208"/>
      <c r="H272" s="208"/>
      <c r="I272" s="208"/>
      <c r="J272" s="208"/>
      <c r="K272" s="208"/>
      <c r="L272" s="208"/>
      <c r="M272" s="125"/>
      <c r="N272" s="125"/>
      <c r="O272" s="125"/>
      <c r="P272" s="125"/>
      <c r="Q272" s="125"/>
      <c r="R272" s="188"/>
      <c r="S272" s="189"/>
      <c r="T272" s="189"/>
      <c r="U272" s="189"/>
      <c r="AF272" s="213"/>
      <c r="AG272" s="213"/>
      <c r="AH272" s="213"/>
      <c r="AI272" s="213"/>
      <c r="AJ272" s="213"/>
      <c r="AK272" s="213"/>
      <c r="AL272" s="213"/>
      <c r="AM272" s="213"/>
      <c r="AN272" s="213"/>
      <c r="AO272" s="213"/>
      <c r="AP272" s="214"/>
    </row>
    <row r="273" spans="2:42" ht="15.75" x14ac:dyDescent="0.25">
      <c r="B273" s="159"/>
      <c r="C273" s="208"/>
      <c r="D273" s="208"/>
      <c r="E273" s="208"/>
      <c r="F273" s="208"/>
      <c r="G273" s="208"/>
      <c r="H273" s="208"/>
      <c r="I273" s="208"/>
      <c r="J273" s="208"/>
      <c r="K273" s="208"/>
      <c r="L273" s="208"/>
      <c r="M273" s="125"/>
      <c r="N273" s="125"/>
      <c r="O273" s="125"/>
      <c r="P273" s="125"/>
      <c r="Q273" s="125"/>
      <c r="R273" s="188"/>
      <c r="S273" s="189"/>
      <c r="T273" s="189"/>
      <c r="U273" s="189"/>
      <c r="AF273" s="213"/>
      <c r="AG273" s="213"/>
      <c r="AH273" s="213"/>
      <c r="AI273" s="213"/>
      <c r="AJ273" s="213"/>
      <c r="AK273" s="213"/>
      <c r="AL273" s="213"/>
      <c r="AM273" s="213"/>
      <c r="AN273" s="213"/>
      <c r="AO273" s="213"/>
      <c r="AP273" s="214"/>
    </row>
    <row r="274" spans="2:42" ht="15.75" x14ac:dyDescent="0.25">
      <c r="B274" s="159"/>
      <c r="C274" s="208"/>
      <c r="D274" s="208"/>
      <c r="E274" s="208"/>
      <c r="F274" s="208"/>
      <c r="G274" s="208"/>
      <c r="H274" s="208"/>
      <c r="I274" s="208"/>
      <c r="J274" s="208"/>
      <c r="K274" s="208"/>
      <c r="L274" s="208"/>
      <c r="M274" s="125"/>
      <c r="N274" s="125"/>
      <c r="O274" s="125"/>
      <c r="P274" s="125"/>
      <c r="Q274" s="125"/>
      <c r="R274" s="188"/>
      <c r="S274" s="189"/>
      <c r="T274" s="189"/>
      <c r="U274" s="189"/>
      <c r="AF274" s="213"/>
      <c r="AG274" s="213"/>
      <c r="AH274" s="213"/>
      <c r="AI274" s="213"/>
      <c r="AJ274" s="213"/>
      <c r="AK274" s="213"/>
      <c r="AL274" s="213"/>
      <c r="AM274" s="213"/>
      <c r="AN274" s="213"/>
      <c r="AO274" s="213"/>
      <c r="AP274" s="214"/>
    </row>
    <row r="275" spans="2:42" ht="15.75" x14ac:dyDescent="0.25">
      <c r="B275" s="159"/>
      <c r="C275" s="208"/>
      <c r="D275" s="208"/>
      <c r="E275" s="208"/>
      <c r="F275" s="208"/>
      <c r="G275" s="208"/>
      <c r="H275" s="208"/>
      <c r="I275" s="208"/>
      <c r="J275" s="208"/>
      <c r="K275" s="208"/>
      <c r="L275" s="208"/>
      <c r="M275" s="125"/>
      <c r="N275" s="125"/>
      <c r="O275" s="125"/>
      <c r="P275" s="125"/>
      <c r="Q275" s="125"/>
      <c r="R275" s="188"/>
      <c r="S275" s="189"/>
      <c r="T275" s="189"/>
      <c r="U275" s="189"/>
      <c r="AF275" s="213"/>
      <c r="AG275" s="213"/>
      <c r="AH275" s="213"/>
      <c r="AI275" s="213"/>
      <c r="AJ275" s="213"/>
      <c r="AK275" s="213"/>
      <c r="AL275" s="213"/>
      <c r="AM275" s="213"/>
      <c r="AN275" s="213"/>
      <c r="AO275" s="213"/>
      <c r="AP275" s="214"/>
    </row>
    <row r="276" spans="2:42" ht="15.75" x14ac:dyDescent="0.25">
      <c r="B276" s="159"/>
      <c r="C276" s="208"/>
      <c r="D276" s="208"/>
      <c r="E276" s="208"/>
      <c r="F276" s="208"/>
      <c r="G276" s="208"/>
      <c r="H276" s="208"/>
      <c r="I276" s="208"/>
      <c r="J276" s="208"/>
      <c r="K276" s="208"/>
      <c r="L276" s="208"/>
      <c r="M276" s="125"/>
      <c r="N276" s="125"/>
      <c r="O276" s="125"/>
      <c r="P276" s="125"/>
      <c r="Q276" s="125"/>
      <c r="R276" s="188"/>
      <c r="S276" s="189"/>
      <c r="T276" s="189"/>
      <c r="U276" s="189"/>
      <c r="AF276" s="213"/>
      <c r="AG276" s="213"/>
      <c r="AH276" s="213"/>
      <c r="AI276" s="213"/>
      <c r="AJ276" s="213"/>
      <c r="AK276" s="213"/>
      <c r="AL276" s="213"/>
      <c r="AM276" s="213"/>
      <c r="AN276" s="213"/>
      <c r="AO276" s="213"/>
      <c r="AP276" s="214"/>
    </row>
    <row r="277" spans="2:42" ht="15.75" x14ac:dyDescent="0.25">
      <c r="B277" s="159"/>
      <c r="C277" s="208"/>
      <c r="D277" s="208"/>
      <c r="E277" s="208"/>
      <c r="F277" s="208"/>
      <c r="G277" s="208"/>
      <c r="H277" s="208"/>
      <c r="I277" s="208"/>
      <c r="J277" s="208"/>
      <c r="K277" s="208"/>
      <c r="L277" s="208"/>
      <c r="M277" s="125"/>
      <c r="N277" s="125"/>
      <c r="O277" s="125"/>
      <c r="P277" s="125"/>
      <c r="Q277" s="125"/>
      <c r="R277" s="188"/>
      <c r="S277" s="189"/>
      <c r="T277" s="189"/>
      <c r="U277" s="189"/>
      <c r="AF277" s="213"/>
      <c r="AG277" s="213"/>
      <c r="AH277" s="213"/>
      <c r="AI277" s="213"/>
      <c r="AJ277" s="213"/>
      <c r="AK277" s="213"/>
      <c r="AL277" s="213"/>
      <c r="AM277" s="213"/>
      <c r="AN277" s="213"/>
      <c r="AO277" s="213"/>
      <c r="AP277" s="214"/>
    </row>
    <row r="278" spans="2:42" ht="15.75" x14ac:dyDescent="0.25">
      <c r="B278" s="159"/>
      <c r="C278" s="208"/>
      <c r="D278" s="208"/>
      <c r="E278" s="208"/>
      <c r="F278" s="208"/>
      <c r="G278" s="208"/>
      <c r="H278" s="208"/>
      <c r="I278" s="208"/>
      <c r="J278" s="208"/>
      <c r="K278" s="208"/>
      <c r="L278" s="224"/>
      <c r="M278" s="125"/>
      <c r="N278" s="125"/>
      <c r="O278" s="125"/>
      <c r="P278" s="125"/>
      <c r="Q278" s="125"/>
      <c r="R278" s="188"/>
      <c r="S278" s="189"/>
      <c r="T278" s="189"/>
      <c r="U278" s="189"/>
      <c r="AF278" s="213"/>
      <c r="AG278" s="213"/>
      <c r="AH278" s="213"/>
      <c r="AI278" s="213"/>
      <c r="AJ278" s="213"/>
      <c r="AK278" s="213"/>
      <c r="AL278" s="213"/>
      <c r="AM278" s="213"/>
      <c r="AN278" s="213"/>
      <c r="AO278" s="213"/>
      <c r="AP278" s="214"/>
    </row>
    <row r="279" spans="2:42" ht="15.75" x14ac:dyDescent="0.25">
      <c r="B279" s="208"/>
      <c r="C279" s="208"/>
      <c r="D279" s="208"/>
      <c r="E279" s="208"/>
      <c r="F279" s="208"/>
      <c r="G279" s="208"/>
      <c r="H279" s="208"/>
      <c r="I279" s="208"/>
      <c r="J279" s="208"/>
      <c r="K279" s="208"/>
      <c r="L279" s="224"/>
      <c r="M279" s="125"/>
      <c r="N279" s="125"/>
      <c r="O279" s="125"/>
      <c r="P279" s="125"/>
      <c r="Q279" s="125"/>
      <c r="R279" s="188"/>
      <c r="S279" s="189"/>
      <c r="T279" s="189"/>
      <c r="U279" s="189"/>
      <c r="AF279" s="213"/>
      <c r="AG279" s="213"/>
      <c r="AH279" s="213"/>
      <c r="AI279" s="213"/>
      <c r="AJ279" s="213"/>
      <c r="AK279" s="213"/>
      <c r="AL279" s="213"/>
      <c r="AM279" s="213"/>
      <c r="AN279" s="213"/>
      <c r="AO279" s="213"/>
      <c r="AP279" s="214"/>
    </row>
    <row r="280" spans="2:42" ht="15.75" x14ac:dyDescent="0.25">
      <c r="B280" s="208"/>
      <c r="C280" s="208"/>
      <c r="D280" s="208"/>
      <c r="E280" s="208"/>
      <c r="F280" s="208"/>
      <c r="G280" s="208"/>
      <c r="H280" s="208"/>
      <c r="I280" s="208"/>
      <c r="J280" s="208"/>
      <c r="K280" s="208"/>
      <c r="L280" s="224"/>
      <c r="M280" s="125"/>
      <c r="N280" s="125"/>
      <c r="O280" s="125"/>
      <c r="P280" s="125"/>
      <c r="Q280" s="125"/>
      <c r="R280" s="188"/>
      <c r="S280" s="189"/>
      <c r="T280" s="125"/>
      <c r="U280" s="188"/>
      <c r="AF280" s="213"/>
      <c r="AG280" s="213"/>
      <c r="AH280" s="213"/>
      <c r="AI280" s="213"/>
      <c r="AJ280" s="213"/>
      <c r="AK280" s="213"/>
      <c r="AL280" s="213"/>
      <c r="AM280" s="213"/>
      <c r="AN280" s="213"/>
      <c r="AO280" s="213"/>
      <c r="AP280" s="214"/>
    </row>
    <row r="281" spans="2:42" ht="15.75" x14ac:dyDescent="0.25">
      <c r="B281" s="159"/>
      <c r="C281" s="208"/>
      <c r="D281" s="208"/>
      <c r="E281" s="208"/>
      <c r="F281" s="208"/>
      <c r="G281" s="208"/>
      <c r="H281" s="208"/>
      <c r="I281" s="208"/>
      <c r="J281" s="208"/>
      <c r="L281" s="224"/>
      <c r="M281" s="125"/>
      <c r="N281" s="125"/>
      <c r="O281" s="125"/>
      <c r="P281" s="125"/>
      <c r="Q281" s="125"/>
      <c r="R281" s="188"/>
      <c r="S281" s="189"/>
      <c r="T281" s="189"/>
      <c r="U281" s="189"/>
      <c r="AF281" s="213"/>
      <c r="AG281" s="213"/>
      <c r="AH281" s="213"/>
      <c r="AI281" s="213"/>
      <c r="AJ281" s="213"/>
      <c r="AK281" s="213"/>
      <c r="AL281" s="213"/>
      <c r="AM281" s="213"/>
      <c r="AN281" s="213"/>
      <c r="AO281" s="213"/>
      <c r="AP281" s="214"/>
    </row>
    <row r="282" spans="2:42" ht="15.75" x14ac:dyDescent="0.25">
      <c r="B282" s="159"/>
      <c r="C282" s="208"/>
      <c r="D282" s="208"/>
      <c r="E282" s="208"/>
      <c r="F282" s="208"/>
      <c r="G282" s="208"/>
      <c r="H282" s="208"/>
      <c r="I282" s="208"/>
      <c r="J282" s="208"/>
      <c r="L282" s="224"/>
      <c r="M282" s="125"/>
      <c r="N282" s="125"/>
      <c r="O282" s="125"/>
      <c r="P282" s="125"/>
      <c r="Q282" s="125"/>
      <c r="R282" s="188"/>
      <c r="S282" s="189"/>
      <c r="T282" s="189"/>
      <c r="U282" s="189"/>
      <c r="AF282" s="208"/>
      <c r="AG282" s="208"/>
      <c r="AH282" s="208"/>
      <c r="AI282" s="208"/>
      <c r="AJ282" s="208"/>
      <c r="AK282" s="208"/>
      <c r="AL282" s="208"/>
      <c r="AM282" s="208"/>
      <c r="AN282" s="208"/>
      <c r="AO282" s="208"/>
      <c r="AP282" s="128"/>
    </row>
    <row r="283" spans="2:42" ht="15.75" x14ac:dyDescent="0.25">
      <c r="B283" s="159"/>
      <c r="C283" s="208"/>
      <c r="D283" s="208"/>
      <c r="E283" s="208"/>
      <c r="F283" s="208"/>
      <c r="G283" s="208"/>
      <c r="H283" s="208"/>
      <c r="I283" s="208"/>
      <c r="J283" s="208"/>
      <c r="L283" s="224"/>
      <c r="M283" s="125"/>
      <c r="N283" s="125"/>
      <c r="O283" s="125"/>
      <c r="P283" s="125"/>
      <c r="Q283" s="125"/>
      <c r="R283" s="188"/>
      <c r="S283" s="189"/>
      <c r="T283" s="189"/>
      <c r="U283" s="189"/>
      <c r="AF283" s="208"/>
      <c r="AG283" s="208"/>
      <c r="AH283" s="208"/>
      <c r="AI283" s="208"/>
      <c r="AJ283" s="208"/>
      <c r="AK283" s="208"/>
      <c r="AL283" s="208"/>
      <c r="AM283" s="208"/>
      <c r="AN283" s="208"/>
      <c r="AO283" s="208"/>
      <c r="AP283" s="128"/>
    </row>
    <row r="284" spans="2:42" ht="15.75" x14ac:dyDescent="0.25">
      <c r="B284" s="159"/>
      <c r="C284" s="159"/>
      <c r="D284" s="188"/>
      <c r="E284" s="128"/>
      <c r="F284" s="188"/>
      <c r="G284" s="188"/>
      <c r="H284" s="188"/>
      <c r="I284" s="188"/>
      <c r="J284" s="188"/>
      <c r="K284" s="188"/>
      <c r="L284" s="188"/>
      <c r="M284" s="125"/>
      <c r="N284" s="125"/>
      <c r="O284" s="125"/>
      <c r="P284" s="125"/>
      <c r="Q284" s="125"/>
      <c r="R284" s="128"/>
      <c r="S284" s="128"/>
      <c r="T284" s="128"/>
      <c r="U284" s="128"/>
      <c r="AF284" s="159"/>
      <c r="AG284" s="159"/>
      <c r="AH284" s="159"/>
      <c r="AI284" s="159"/>
      <c r="AJ284" s="159"/>
      <c r="AK284" s="159"/>
      <c r="AL284" s="159"/>
      <c r="AM284" s="159"/>
      <c r="AN284" s="159"/>
      <c r="AO284" s="159"/>
      <c r="AP284" s="128"/>
    </row>
    <row r="285" spans="2:42" ht="15.75" x14ac:dyDescent="0.25">
      <c r="B285" s="159"/>
      <c r="C285" s="159"/>
      <c r="D285" s="125"/>
      <c r="E285" s="188"/>
      <c r="F285" s="125"/>
      <c r="G285" s="125"/>
      <c r="H285" s="125"/>
      <c r="I285" s="125"/>
      <c r="J285" s="125"/>
      <c r="K285" s="125"/>
      <c r="L285" s="125"/>
      <c r="M285" s="128"/>
      <c r="N285" s="128"/>
      <c r="O285" s="128"/>
      <c r="P285" s="128"/>
      <c r="Q285" s="128"/>
      <c r="R285" s="128"/>
      <c r="S285" s="128"/>
      <c r="T285" s="128"/>
      <c r="U285" s="128"/>
      <c r="AF285" s="159"/>
      <c r="AG285" s="159"/>
      <c r="AH285" s="159"/>
      <c r="AI285" s="159"/>
      <c r="AJ285" s="159"/>
      <c r="AK285" s="159"/>
      <c r="AL285" s="159"/>
      <c r="AM285" s="159"/>
      <c r="AN285" s="159"/>
      <c r="AO285" s="159"/>
      <c r="AP285" s="208"/>
    </row>
    <row r="286" spans="2:42" ht="15.75" x14ac:dyDescent="0.25">
      <c r="B286" s="159"/>
      <c r="C286" s="159"/>
      <c r="D286" s="188"/>
      <c r="E286" s="128"/>
      <c r="F286" s="225"/>
      <c r="G286" s="225"/>
      <c r="H286" s="225"/>
      <c r="I286" s="225"/>
      <c r="J286" s="225"/>
      <c r="K286" s="225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AF286" s="226"/>
      <c r="AG286" s="226"/>
      <c r="AH286" s="226"/>
      <c r="AI286" s="226"/>
      <c r="AJ286" s="226"/>
      <c r="AK286" s="226"/>
      <c r="AL286" s="226"/>
      <c r="AM286" s="226"/>
      <c r="AN286" s="226"/>
      <c r="AO286" s="226"/>
      <c r="AP286" s="226"/>
    </row>
    <row r="287" spans="2:42" ht="15" x14ac:dyDescent="0.2">
      <c r="B287" s="226"/>
      <c r="C287" s="192"/>
      <c r="D287" s="226"/>
      <c r="E287" s="226"/>
      <c r="F287" s="226"/>
      <c r="G287" s="226"/>
      <c r="H287" s="226"/>
      <c r="I287" s="226"/>
      <c r="J287" s="226"/>
      <c r="K287" s="226"/>
      <c r="L287" s="226"/>
      <c r="M287" s="226"/>
      <c r="N287" s="226"/>
      <c r="O287" s="226"/>
      <c r="P287" s="226"/>
      <c r="Q287" s="226"/>
      <c r="R287" s="226"/>
      <c r="S287" s="226"/>
      <c r="T287" s="226"/>
      <c r="U287" s="226"/>
      <c r="V287" s="226"/>
      <c r="W287" s="226"/>
      <c r="X287" s="226"/>
      <c r="Y287" s="226"/>
      <c r="Z287" s="226"/>
      <c r="AA287" s="226"/>
      <c r="AB287" s="226"/>
      <c r="AC287" s="226"/>
      <c r="AD287" s="226"/>
      <c r="AE287" s="226"/>
      <c r="AF287" s="226"/>
      <c r="AG287" s="226"/>
      <c r="AH287" s="226"/>
      <c r="AI287" s="226"/>
      <c r="AJ287" s="226"/>
      <c r="AK287" s="226"/>
      <c r="AL287" s="226"/>
      <c r="AM287" s="226"/>
      <c r="AN287" s="226"/>
      <c r="AO287" s="226"/>
      <c r="AP287" s="226"/>
    </row>
    <row r="288" spans="2:42" ht="15" x14ac:dyDescent="0.2">
      <c r="B288" s="226"/>
      <c r="C288" s="192"/>
      <c r="D288" s="192"/>
      <c r="E288" s="192"/>
      <c r="F288" s="192"/>
      <c r="G288" s="192"/>
      <c r="H288" s="192"/>
      <c r="I288" s="192"/>
      <c r="J288" s="192"/>
      <c r="K288" s="192"/>
      <c r="L288" s="192"/>
      <c r="M288" s="192"/>
      <c r="N288" s="192"/>
      <c r="O288" s="192"/>
      <c r="P288" s="192"/>
      <c r="Q288" s="192"/>
      <c r="R288" s="192"/>
      <c r="S288" s="192"/>
      <c r="T288" s="192"/>
      <c r="U288" s="192"/>
      <c r="V288" s="192"/>
      <c r="W288" s="192"/>
      <c r="X288" s="192"/>
      <c r="Y288" s="192"/>
      <c r="Z288" s="192"/>
      <c r="AA288" s="192"/>
      <c r="AB288" s="192"/>
      <c r="AC288" s="192"/>
      <c r="AD288" s="192"/>
      <c r="AE288" s="192"/>
      <c r="AF288" s="192"/>
      <c r="AG288" s="192"/>
      <c r="AH288" s="192"/>
      <c r="AI288" s="192"/>
      <c r="AJ288" s="192"/>
      <c r="AK288" s="192"/>
      <c r="AL288" s="192"/>
      <c r="AM288" s="192"/>
      <c r="AN288" s="192"/>
      <c r="AO288" s="192"/>
      <c r="AP288" s="192"/>
    </row>
    <row r="289" spans="2:42" ht="15" x14ac:dyDescent="0.2">
      <c r="B289" s="192"/>
      <c r="C289" s="192"/>
      <c r="D289" s="192"/>
      <c r="E289" s="192"/>
      <c r="F289" s="192"/>
      <c r="G289" s="192"/>
      <c r="H289" s="192"/>
      <c r="I289" s="192"/>
      <c r="J289" s="192"/>
      <c r="K289" s="192"/>
      <c r="L289" s="192"/>
      <c r="M289" s="192"/>
      <c r="N289" s="192"/>
      <c r="O289" s="192"/>
      <c r="P289" s="192"/>
      <c r="Q289" s="192"/>
      <c r="R289" s="192"/>
      <c r="S289" s="192"/>
      <c r="T289" s="192"/>
      <c r="U289" s="192"/>
      <c r="V289" s="192"/>
      <c r="W289" s="192"/>
      <c r="X289" s="192"/>
      <c r="Y289" s="192"/>
      <c r="Z289" s="192"/>
      <c r="AA289" s="192"/>
      <c r="AB289" s="192"/>
      <c r="AC289" s="192"/>
      <c r="AD289" s="192"/>
      <c r="AE289" s="192"/>
      <c r="AF289" s="192"/>
      <c r="AG289" s="192"/>
      <c r="AH289" s="192"/>
      <c r="AI289" s="192"/>
      <c r="AJ289" s="192"/>
      <c r="AK289" s="192"/>
      <c r="AL289" s="192"/>
      <c r="AM289" s="192"/>
      <c r="AN289" s="192"/>
      <c r="AO289" s="192"/>
      <c r="AP289" s="192"/>
    </row>
  </sheetData>
  <sheetProtection algorithmName="SHA-512" hashValue="02yKQQtYjlrQxTO4BuUhrXevaHgX8KVma4zAc2xd8tZOhcYZfrLC1oows6rYXxRjja2Gj+UM8cPnQANVyGL/vA==" saltValue="OVJtDjdb9q1sEcTNt7ZThA==" spinCount="100000" sheet="1" formatCells="0" formatColumns="0" formatRows="0" insertColumns="0" insertRows="0" insertHyperlinks="0" deleteColumns="0" deleteRows="0" sort="0" autoFilter="0" pivotTables="0"/>
  <mergeCells count="9">
    <mergeCell ref="J2:K2"/>
    <mergeCell ref="L2:M2"/>
    <mergeCell ref="R2:S2"/>
    <mergeCell ref="AD2:AE2"/>
    <mergeCell ref="B58:D58"/>
    <mergeCell ref="J51:K51"/>
    <mergeCell ref="L51:M51"/>
    <mergeCell ref="R51:S51"/>
    <mergeCell ref="AD51:AE51"/>
  </mergeCells>
  <phoneticPr fontId="2" type="noConversion"/>
  <conditionalFormatting sqref="J3:M47">
    <cfRule type="expression" priority="9">
      <formula>IF($L$21:$L$65&gt;38,$L$21:$L$65&lt;35)</formula>
    </cfRule>
  </conditionalFormatting>
  <conditionalFormatting sqref="J52:M56">
    <cfRule type="expression" priority="2">
      <formula>IF($L$21:$L$65&gt;38,$L$21:$L$65&lt;35)</formula>
    </cfRule>
  </conditionalFormatting>
  <conditionalFormatting sqref="R3:W47">
    <cfRule type="expression" dxfId="1" priority="7">
      <formula>AND($G$21&gt;38,$G$21&lt;35)</formula>
    </cfRule>
  </conditionalFormatting>
  <conditionalFormatting sqref="R52:W56">
    <cfRule type="expression" dxfId="0" priority="1">
      <formula>AND($G$21&gt;38,$G$21&lt;35)</formula>
    </cfRule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L122"/>
  <sheetViews>
    <sheetView tabSelected="1" topLeftCell="A100" zoomScale="120" zoomScaleNormal="120" workbookViewId="0">
      <selection activeCell="C112" sqref="C112:H112"/>
    </sheetView>
  </sheetViews>
  <sheetFormatPr defaultRowHeight="12.75" x14ac:dyDescent="0.2"/>
  <cols>
    <col min="2" max="2" width="6.140625" customWidth="1"/>
    <col min="3" max="3" width="13.28515625" customWidth="1"/>
    <col min="5" max="5" width="11.7109375" customWidth="1"/>
    <col min="7" max="7" width="7.140625" customWidth="1"/>
    <col min="8" max="8" width="18.7109375" customWidth="1"/>
    <col min="11" max="11" width="10.7109375" customWidth="1"/>
    <col min="12" max="12" width="11.42578125" customWidth="1"/>
  </cols>
  <sheetData>
    <row r="2" spans="2:12" x14ac:dyDescent="0.2">
      <c r="L2" s="81" t="s">
        <v>0</v>
      </c>
    </row>
    <row r="3" spans="2:12" x14ac:dyDescent="0.2">
      <c r="L3" s="81" t="s">
        <v>67</v>
      </c>
    </row>
    <row r="4" spans="2:12" x14ac:dyDescent="0.2">
      <c r="L4" s="81" t="s">
        <v>68</v>
      </c>
    </row>
    <row r="5" spans="2:12" x14ac:dyDescent="0.2">
      <c r="L5" s="81" t="s">
        <v>2</v>
      </c>
    </row>
    <row r="6" spans="2:12" x14ac:dyDescent="0.2">
      <c r="L6" s="82" t="s">
        <v>54</v>
      </c>
    </row>
    <row r="7" spans="2:12" x14ac:dyDescent="0.2">
      <c r="L7" s="83" t="s">
        <v>55</v>
      </c>
    </row>
    <row r="9" spans="2:12" ht="15" x14ac:dyDescent="0.25">
      <c r="B9" s="312" t="s">
        <v>229</v>
      </c>
      <c r="C9" s="312"/>
      <c r="D9" s="312"/>
      <c r="E9" s="312"/>
      <c r="F9" s="312"/>
      <c r="G9" s="312"/>
      <c r="H9" s="312"/>
      <c r="I9" s="312"/>
      <c r="J9" s="312"/>
      <c r="K9" s="312"/>
      <c r="L9" s="312"/>
    </row>
    <row r="10" spans="2:12" x14ac:dyDescent="0.2">
      <c r="F10" s="86" t="s">
        <v>69</v>
      </c>
      <c r="G10" s="87" t="s">
        <v>16</v>
      </c>
    </row>
    <row r="11" spans="2:12" x14ac:dyDescent="0.2">
      <c r="F11" s="86"/>
      <c r="G11" s="87"/>
    </row>
    <row r="12" spans="2:12" ht="15" x14ac:dyDescent="0.25">
      <c r="B12" s="313" t="s">
        <v>230</v>
      </c>
      <c r="C12" s="313"/>
      <c r="D12" s="314">
        <f>Бланк!$D$10</f>
        <v>0</v>
      </c>
      <c r="E12" s="314"/>
      <c r="F12" s="150"/>
      <c r="G12" s="150"/>
      <c r="H12" s="150"/>
      <c r="I12" s="150"/>
      <c r="J12" s="150"/>
      <c r="K12" s="150"/>
      <c r="L12" s="150"/>
    </row>
    <row r="13" spans="2:12" x14ac:dyDescent="0.2">
      <c r="B13" s="150"/>
      <c r="C13" s="150"/>
      <c r="D13" s="150"/>
      <c r="E13" s="150"/>
      <c r="F13" s="150"/>
      <c r="G13" s="150"/>
      <c r="H13" s="150"/>
      <c r="I13" s="150"/>
      <c r="J13" s="150"/>
      <c r="K13" s="150"/>
      <c r="L13" s="150"/>
    </row>
    <row r="14" spans="2:12" ht="14.25" x14ac:dyDescent="0.2">
      <c r="B14" s="150"/>
      <c r="C14" s="150"/>
      <c r="D14" s="151" t="s">
        <v>239</v>
      </c>
      <c r="E14" s="152">
        <f ca="1">TODAY()</f>
        <v>45693</v>
      </c>
      <c r="F14" s="150"/>
      <c r="G14" s="150"/>
      <c r="H14" s="150"/>
      <c r="I14" s="150"/>
      <c r="J14" s="150"/>
      <c r="K14" s="150"/>
      <c r="L14" s="150"/>
    </row>
    <row r="15" spans="2:12" ht="14.25" x14ac:dyDescent="0.2">
      <c r="B15" s="150"/>
      <c r="C15" s="150"/>
      <c r="D15" s="151" t="s">
        <v>240</v>
      </c>
      <c r="E15" s="150">
        <f>Бланк!$AF$11</f>
        <v>0</v>
      </c>
      <c r="F15" s="150"/>
      <c r="G15" s="150"/>
      <c r="H15" s="150"/>
      <c r="I15" s="150"/>
      <c r="J15" s="150"/>
      <c r="K15" s="150"/>
      <c r="L15" s="150"/>
    </row>
    <row r="16" spans="2:12" ht="14.25" x14ac:dyDescent="0.2">
      <c r="B16" s="150"/>
      <c r="C16" s="150"/>
      <c r="D16" s="151" t="s">
        <v>241</v>
      </c>
      <c r="E16" s="150">
        <f>Бланк!$AF$12</f>
        <v>0</v>
      </c>
      <c r="F16" s="150"/>
      <c r="G16" s="150"/>
      <c r="H16" s="150"/>
      <c r="I16" s="150"/>
      <c r="J16" s="150"/>
      <c r="K16" s="150"/>
      <c r="L16" s="150"/>
    </row>
    <row r="17" spans="2:12" ht="14.25" x14ac:dyDescent="0.2">
      <c r="B17" s="150"/>
      <c r="C17" s="150"/>
      <c r="D17" s="151" t="s">
        <v>242</v>
      </c>
      <c r="E17" s="150">
        <f>Бланк!$AF$13</f>
        <v>0</v>
      </c>
      <c r="F17" s="150"/>
      <c r="G17" s="150"/>
      <c r="H17" s="150"/>
      <c r="I17" s="150"/>
      <c r="J17" s="150"/>
      <c r="K17" s="150"/>
      <c r="L17" s="150"/>
    </row>
    <row r="18" spans="2:12" ht="14.25" x14ac:dyDescent="0.2">
      <c r="B18" s="150"/>
      <c r="C18" s="150"/>
      <c r="D18" s="151" t="s">
        <v>243</v>
      </c>
      <c r="E18" s="150">
        <f>Бланк!$AF$14</f>
        <v>0</v>
      </c>
      <c r="F18" s="150"/>
      <c r="G18" s="150"/>
      <c r="H18" s="150"/>
      <c r="I18" s="150"/>
      <c r="J18" s="150"/>
      <c r="K18" s="150"/>
      <c r="L18" s="150"/>
    </row>
    <row r="19" spans="2:12" x14ac:dyDescent="0.2">
      <c r="B19" s="153"/>
      <c r="C19" s="153"/>
      <c r="D19" s="153"/>
      <c r="E19" s="153"/>
      <c r="F19" s="153"/>
      <c r="G19" s="153"/>
      <c r="H19" s="153"/>
      <c r="I19" s="153"/>
      <c r="J19" s="153"/>
      <c r="K19" s="153"/>
      <c r="L19" s="153"/>
    </row>
    <row r="20" spans="2:12" x14ac:dyDescent="0.2">
      <c r="B20" s="154" t="s">
        <v>3</v>
      </c>
      <c r="C20" s="311" t="s">
        <v>416</v>
      </c>
      <c r="D20" s="311"/>
      <c r="E20" s="311"/>
      <c r="F20" s="311"/>
      <c r="G20" s="311"/>
      <c r="H20" s="311"/>
      <c r="I20" s="154" t="s">
        <v>106</v>
      </c>
      <c r="J20" s="154" t="s">
        <v>226</v>
      </c>
      <c r="K20" s="155" t="s">
        <v>233</v>
      </c>
      <c r="L20" s="156" t="s">
        <v>232</v>
      </c>
    </row>
    <row r="21" spans="2:12" x14ac:dyDescent="0.2">
      <c r="B21" s="154">
        <f>SUBTOTAL(103,$C$21:$C21)</f>
        <v>1</v>
      </c>
      <c r="C21" s="311" t="str">
        <f>Просчет!$C85</f>
        <v>Матове покриття до 16 мм</v>
      </c>
      <c r="D21" s="311"/>
      <c r="E21" s="311"/>
      <c r="F21" s="311"/>
      <c r="G21" s="311"/>
      <c r="H21" s="311"/>
      <c r="I21" s="154" t="str">
        <f>Просчет!$J85</f>
        <v>м²</v>
      </c>
      <c r="J21" s="154" t="str">
        <f>IF(Просчет!$K85=0,"",ROUND(Просчет!$K85,3))</f>
        <v/>
      </c>
      <c r="K21" s="108">
        <f>Просчет!$M85</f>
        <v>2550</v>
      </c>
      <c r="L21" s="109" t="str">
        <f>IF($J21="","",J21*K21)</f>
        <v/>
      </c>
    </row>
    <row r="22" spans="2:12" x14ac:dyDescent="0.2">
      <c r="B22" s="91">
        <f>SUBTOTAL(103,$C$21:$C22)</f>
        <v>2</v>
      </c>
      <c r="C22" s="311" t="str">
        <f>Просчет!$C86</f>
        <v>Матове покриття 19 мм</v>
      </c>
      <c r="D22" s="311"/>
      <c r="E22" s="311"/>
      <c r="F22" s="311"/>
      <c r="G22" s="311"/>
      <c r="H22" s="311"/>
      <c r="I22" s="154" t="str">
        <f>Просчет!$J86</f>
        <v>м²</v>
      </c>
      <c r="J22" s="154" t="str">
        <f>IF(Просчет!$K86=0,"",ROUND(Просчет!$K86,3))</f>
        <v/>
      </c>
      <c r="K22" s="108">
        <f>Просчет!$M86</f>
        <v>2620</v>
      </c>
      <c r="L22" s="109" t="str">
        <f t="shared" ref="L22:L85" si="0">IF($J22="","",J22*K22)</f>
        <v/>
      </c>
    </row>
    <row r="23" spans="2:12" x14ac:dyDescent="0.2">
      <c r="B23" s="154">
        <f>SUBTOTAL(103,$C$21:$C23)</f>
        <v>3</v>
      </c>
      <c r="C23" s="311" t="str">
        <f>Просчет!$C87</f>
        <v>Матове покриття 22мм</v>
      </c>
      <c r="D23" s="311"/>
      <c r="E23" s="311"/>
      <c r="F23" s="311"/>
      <c r="G23" s="311"/>
      <c r="H23" s="311"/>
      <c r="I23" s="154" t="str">
        <f>Просчет!$J87</f>
        <v>м²</v>
      </c>
      <c r="J23" s="154">
        <f>IF(Просчет!$K87=0,"",ROUND(Просчет!$K87,3))</f>
        <v>2.4</v>
      </c>
      <c r="K23" s="108">
        <f>Просчет!$M87</f>
        <v>3320</v>
      </c>
      <c r="L23" s="109">
        <f t="shared" si="0"/>
        <v>7968</v>
      </c>
    </row>
    <row r="24" spans="2:12" x14ac:dyDescent="0.2">
      <c r="B24" s="154">
        <f>SUBTOTAL(103,$C$21:$C24)</f>
        <v>4</v>
      </c>
      <c r="C24" s="311" t="str">
        <f>Просчет!$C88</f>
        <v>Матове покриття другої сторони</v>
      </c>
      <c r="D24" s="311"/>
      <c r="E24" s="311"/>
      <c r="F24" s="311"/>
      <c r="G24" s="311"/>
      <c r="H24" s="311"/>
      <c r="I24" s="154" t="str">
        <f>Просчет!$J88</f>
        <v>м²</v>
      </c>
      <c r="J24" s="154" t="str">
        <f>IF(Просчет!$K88=0,"",ROUND(Просчет!$K88,3))</f>
        <v/>
      </c>
      <c r="K24" s="108">
        <f>Просчет!$M88</f>
        <v>2050</v>
      </c>
      <c r="L24" s="109" t="str">
        <f t="shared" si="0"/>
        <v/>
      </c>
    </row>
    <row r="25" spans="2:12" x14ac:dyDescent="0.2">
      <c r="B25" s="91">
        <f>SUBTOTAL(103,$C$21:$C25)</f>
        <v>5</v>
      </c>
      <c r="C25" s="311" t="str">
        <f>Просчет!$C89</f>
        <v>Софт покриття до 16 мм</v>
      </c>
      <c r="D25" s="311"/>
      <c r="E25" s="311"/>
      <c r="F25" s="311"/>
      <c r="G25" s="311"/>
      <c r="H25" s="311"/>
      <c r="I25" s="154" t="str">
        <f>Просчет!$J89</f>
        <v>м²</v>
      </c>
      <c r="J25" s="154" t="str">
        <f>IF(Просчет!$K89=0,"",ROUND(Просчет!$K89,3))</f>
        <v/>
      </c>
      <c r="K25" s="108">
        <f>Просчет!$M89</f>
        <v>2550</v>
      </c>
      <c r="L25" s="109" t="str">
        <f t="shared" si="0"/>
        <v/>
      </c>
    </row>
    <row r="26" spans="2:12" x14ac:dyDescent="0.2">
      <c r="B26" s="154">
        <f>SUBTOTAL(103,$C$21:$C26)</f>
        <v>6</v>
      </c>
      <c r="C26" s="311" t="str">
        <f>Просчет!$C90</f>
        <v>Софт покриття 19 мм</v>
      </c>
      <c r="D26" s="311"/>
      <c r="E26" s="311"/>
      <c r="F26" s="311"/>
      <c r="G26" s="311"/>
      <c r="H26" s="311"/>
      <c r="I26" s="154" t="str">
        <f>Просчет!$J90</f>
        <v>м²</v>
      </c>
      <c r="J26" s="154" t="str">
        <f>IF(Просчет!$K90=0,"",ROUND(Просчет!$K90,3))</f>
        <v/>
      </c>
      <c r="K26" s="108">
        <f>Просчет!$M90</f>
        <v>2620</v>
      </c>
      <c r="L26" s="109" t="str">
        <f t="shared" si="0"/>
        <v/>
      </c>
    </row>
    <row r="27" spans="2:12" x14ac:dyDescent="0.2">
      <c r="B27" s="91">
        <f>SUBTOTAL(103,$C$21:$C27)</f>
        <v>7</v>
      </c>
      <c r="C27" s="311" t="str">
        <f>Просчет!$C91</f>
        <v>Софт покриття 22 мм</v>
      </c>
      <c r="D27" s="311"/>
      <c r="E27" s="311"/>
      <c r="F27" s="311"/>
      <c r="G27" s="311"/>
      <c r="H27" s="311"/>
      <c r="I27" s="154" t="str">
        <f>Просчет!$J91</f>
        <v>м²</v>
      </c>
      <c r="J27" s="154" t="str">
        <f>IF(Просчет!$K91=0,"",ROUND(Просчет!$K91,3))</f>
        <v/>
      </c>
      <c r="K27" s="108">
        <f>Просчет!$M91</f>
        <v>3320</v>
      </c>
      <c r="L27" s="109" t="str">
        <f t="shared" si="0"/>
        <v/>
      </c>
    </row>
    <row r="28" spans="2:12" x14ac:dyDescent="0.2">
      <c r="B28" s="154">
        <f>SUBTOTAL(103,$C$21:$C28)</f>
        <v>8</v>
      </c>
      <c r="C28" s="311" t="str">
        <f>Просчет!$C92</f>
        <v>Софт покриття другої сторони</v>
      </c>
      <c r="D28" s="311"/>
      <c r="E28" s="311"/>
      <c r="F28" s="311"/>
      <c r="G28" s="311"/>
      <c r="H28" s="311"/>
      <c r="I28" s="154" t="str">
        <f>Просчет!$J92</f>
        <v>м²</v>
      </c>
      <c r="J28" s="154" t="str">
        <f>IF(Просчет!$K92=0,"",ROUND(Просчет!$K92,3))</f>
        <v/>
      </c>
      <c r="K28" s="108">
        <f>Просчет!$M92</f>
        <v>2050</v>
      </c>
      <c r="L28" s="109" t="str">
        <f t="shared" si="0"/>
        <v/>
      </c>
    </row>
    <row r="29" spans="2:12" x14ac:dyDescent="0.2">
      <c r="B29" s="154">
        <f>SUBTOTAL(103,$C$21:$C29)</f>
        <v>9</v>
      </c>
      <c r="C29" s="311" t="str">
        <f>Просчет!$C93</f>
        <v>Глянцеве покриття з поліруванням до 16 мм</v>
      </c>
      <c r="D29" s="311"/>
      <c r="E29" s="311"/>
      <c r="F29" s="311"/>
      <c r="G29" s="311"/>
      <c r="H29" s="311"/>
      <c r="I29" s="154" t="str">
        <f>Просчет!$J93</f>
        <v>м²</v>
      </c>
      <c r="J29" s="154" t="str">
        <f>IF(Просчет!$K93=0,"",ROUND(Просчет!$K93,3))</f>
        <v/>
      </c>
      <c r="K29" s="108">
        <f>Просчет!$M93</f>
        <v>3040</v>
      </c>
      <c r="L29" s="109" t="str">
        <f t="shared" si="0"/>
        <v/>
      </c>
    </row>
    <row r="30" spans="2:12" x14ac:dyDescent="0.2">
      <c r="B30" s="91">
        <f>SUBTOTAL(103,$C$21:$C30)</f>
        <v>10</v>
      </c>
      <c r="C30" s="311" t="str">
        <f>Просчет!$C94</f>
        <v>Глянцеве покриття з поліруванням 19 мм</v>
      </c>
      <c r="D30" s="311"/>
      <c r="E30" s="311"/>
      <c r="F30" s="311"/>
      <c r="G30" s="311"/>
      <c r="H30" s="311"/>
      <c r="I30" s="154" t="str">
        <f>Просчет!$J94</f>
        <v>м²</v>
      </c>
      <c r="J30" s="154" t="str">
        <f>IF(Просчет!$K94=0,"",ROUND(Просчет!$K94,3))</f>
        <v/>
      </c>
      <c r="K30" s="108">
        <f>Просчет!$M94</f>
        <v>3110</v>
      </c>
      <c r="L30" s="109" t="str">
        <f t="shared" si="0"/>
        <v/>
      </c>
    </row>
    <row r="31" spans="2:12" x14ac:dyDescent="0.2">
      <c r="B31" s="91">
        <f>SUBTOTAL(103,$C$21:$C31)</f>
        <v>11</v>
      </c>
      <c r="C31" s="311" t="str">
        <f>Просчет!$C95</f>
        <v>Глянцеве покриття з поліруванням 22 мм</v>
      </c>
      <c r="D31" s="311"/>
      <c r="E31" s="311"/>
      <c r="F31" s="311"/>
      <c r="G31" s="311"/>
      <c r="H31" s="311"/>
      <c r="I31" s="154" t="str">
        <f>Просчет!$J95</f>
        <v>м²</v>
      </c>
      <c r="J31" s="154" t="str">
        <f>IF(Просчет!$K95=0,"",ROUND(Просчет!$K95,3))</f>
        <v/>
      </c>
      <c r="K31" s="108">
        <f>Просчет!$M95</f>
        <v>3810</v>
      </c>
      <c r="L31" s="109" t="str">
        <f t="shared" si="0"/>
        <v/>
      </c>
    </row>
    <row r="32" spans="2:12" x14ac:dyDescent="0.2">
      <c r="B32" s="91">
        <f>SUBTOTAL(103,$C$21:$C32)</f>
        <v>12</v>
      </c>
      <c r="C32" s="311" t="str">
        <f>Просчет!$C96</f>
        <v>Глянцеве покриття другої сторони</v>
      </c>
      <c r="D32" s="311"/>
      <c r="E32" s="311"/>
      <c r="F32" s="311"/>
      <c r="G32" s="311"/>
      <c r="H32" s="311"/>
      <c r="I32" s="154" t="str">
        <f>Просчет!$J96</f>
        <v>м²</v>
      </c>
      <c r="J32" s="154" t="str">
        <f>IF(Просчет!$K96=0,"",ROUND(Просчет!$K96,3))</f>
        <v/>
      </c>
      <c r="K32" s="108">
        <f>Просчет!$M96</f>
        <v>2540</v>
      </c>
      <c r="L32" s="109" t="str">
        <f t="shared" si="0"/>
        <v/>
      </c>
    </row>
    <row r="33" spans="2:12" x14ac:dyDescent="0.2">
      <c r="B33" s="91">
        <f>SUBTOTAL(103,$C$21:$C33)</f>
        <v>13</v>
      </c>
      <c r="C33" s="311" t="str">
        <f>Просчет!$C97</f>
        <v>Спецефект перл. ср/зол.+глянець до 16 мм</v>
      </c>
      <c r="D33" s="311"/>
      <c r="E33" s="311"/>
      <c r="F33" s="311"/>
      <c r="G33" s="311"/>
      <c r="H33" s="311"/>
      <c r="I33" s="154" t="str">
        <f>Просчет!$J97</f>
        <v>м²</v>
      </c>
      <c r="J33" s="154" t="str">
        <f>IF(Просчет!$K97=0,"",ROUND(Просчет!$K97,3))</f>
        <v/>
      </c>
      <c r="K33" s="108">
        <f>Просчет!$M97</f>
        <v>3250</v>
      </c>
      <c r="L33" s="109" t="str">
        <f t="shared" si="0"/>
        <v/>
      </c>
    </row>
    <row r="34" spans="2:12" x14ac:dyDescent="0.2">
      <c r="B34" s="91">
        <f>SUBTOTAL(103,$C$21:$C34)</f>
        <v>14</v>
      </c>
      <c r="C34" s="311" t="str">
        <f>Просчет!$C98</f>
        <v>Спецефект перл. ср/зол.+глянець 19 мм</v>
      </c>
      <c r="D34" s="311"/>
      <c r="E34" s="311"/>
      <c r="F34" s="311"/>
      <c r="G34" s="311"/>
      <c r="H34" s="311"/>
      <c r="I34" s="154" t="str">
        <f>Просчет!$J98</f>
        <v>м²</v>
      </c>
      <c r="J34" s="154" t="str">
        <f>IF(Просчет!$K98=0,"",ROUND(Просчет!$K98,3))</f>
        <v/>
      </c>
      <c r="K34" s="108">
        <f>Просчет!$M98</f>
        <v>3320</v>
      </c>
      <c r="L34" s="109" t="str">
        <f t="shared" si="0"/>
        <v/>
      </c>
    </row>
    <row r="35" spans="2:12" x14ac:dyDescent="0.2">
      <c r="B35" s="91">
        <f>SUBTOTAL(103,$C$21:$C35)</f>
        <v>15</v>
      </c>
      <c r="C35" s="311" t="str">
        <f>Просчет!$C99</f>
        <v>Спецефект перл. ср/зол.+глянець 22 мм</v>
      </c>
      <c r="D35" s="311"/>
      <c r="E35" s="311"/>
      <c r="F35" s="311"/>
      <c r="G35" s="311"/>
      <c r="H35" s="311"/>
      <c r="I35" s="154" t="str">
        <f>Просчет!$J99</f>
        <v>м²</v>
      </c>
      <c r="J35" s="154" t="str">
        <f>IF(Просчет!$K99=0,"",ROUND(Просчет!$K99,3))</f>
        <v/>
      </c>
      <c r="K35" s="108">
        <f>Просчет!$M99</f>
        <v>4020</v>
      </c>
      <c r="L35" s="109" t="str">
        <f t="shared" si="0"/>
        <v/>
      </c>
    </row>
    <row r="36" spans="2:12" x14ac:dyDescent="0.2">
      <c r="B36" s="91">
        <f>SUBTOTAL(103,$C$21:$C36)</f>
        <v>16</v>
      </c>
      <c r="C36" s="311" t="str">
        <f>Просчет!$C100</f>
        <v>Спецефект перл. ср/зол.+глянець, другої сторони</v>
      </c>
      <c r="D36" s="311"/>
      <c r="E36" s="311"/>
      <c r="F36" s="311"/>
      <c r="G36" s="311"/>
      <c r="H36" s="311"/>
      <c r="I36" s="154" t="str">
        <f>Просчет!$J100</f>
        <v>м²</v>
      </c>
      <c r="J36" s="154" t="str">
        <f>IF(Просчет!$K100=0,"",ROUND(Просчет!$K100,3))</f>
        <v/>
      </c>
      <c r="K36" s="108">
        <f>Просчет!$M100</f>
        <v>2750</v>
      </c>
      <c r="L36" s="109" t="str">
        <f t="shared" si="0"/>
        <v/>
      </c>
    </row>
    <row r="37" spans="2:12" x14ac:dyDescent="0.2">
      <c r="B37" s="91">
        <f>SUBTOTAL(103,$C$21:$C37)</f>
        <v>17</v>
      </c>
      <c r="C37" s="311" t="str">
        <f>Просчет!$C101</f>
        <v>Спецефект гума до 16 мм</v>
      </c>
      <c r="D37" s="311"/>
      <c r="E37" s="311"/>
      <c r="F37" s="311"/>
      <c r="G37" s="311"/>
      <c r="H37" s="311"/>
      <c r="I37" s="154" t="str">
        <f>Просчет!$J101</f>
        <v>м²</v>
      </c>
      <c r="J37" s="154" t="str">
        <f>IF(Просчет!$K101=0,"",ROUND(Просчет!$K101,3))</f>
        <v/>
      </c>
      <c r="K37" s="108">
        <f>Просчет!$M101</f>
        <v>3110</v>
      </c>
      <c r="L37" s="109" t="str">
        <f t="shared" si="0"/>
        <v/>
      </c>
    </row>
    <row r="38" spans="2:12" x14ac:dyDescent="0.2">
      <c r="B38" s="91">
        <f>SUBTOTAL(103,$C$21:$C38)</f>
        <v>18</v>
      </c>
      <c r="C38" s="311" t="str">
        <f>Просчет!$C102</f>
        <v>Спецефект гума 19 мм</v>
      </c>
      <c r="D38" s="311"/>
      <c r="E38" s="311"/>
      <c r="F38" s="311"/>
      <c r="G38" s="311"/>
      <c r="H38" s="311"/>
      <c r="I38" s="154" t="str">
        <f>Просчет!$J102</f>
        <v>м²</v>
      </c>
      <c r="J38" s="154" t="str">
        <f>IF(Просчет!$K102=0,"",ROUND(Просчет!$K102,3))</f>
        <v/>
      </c>
      <c r="K38" s="108">
        <f>Просчет!$M102</f>
        <v>3180</v>
      </c>
      <c r="L38" s="109" t="str">
        <f t="shared" si="0"/>
        <v/>
      </c>
    </row>
    <row r="39" spans="2:12" x14ac:dyDescent="0.2">
      <c r="B39" s="154">
        <f>SUBTOTAL(103,$C$21:$C39)</f>
        <v>19</v>
      </c>
      <c r="C39" s="311" t="str">
        <f>Просчет!$C103</f>
        <v>Спецефект гума 22 мм</v>
      </c>
      <c r="D39" s="311"/>
      <c r="E39" s="311"/>
      <c r="F39" s="311"/>
      <c r="G39" s="311"/>
      <c r="H39" s="311"/>
      <c r="I39" s="154" t="str">
        <f>Просчет!$J103</f>
        <v>м²</v>
      </c>
      <c r="J39" s="154" t="str">
        <f>IF(Просчет!$K103=0,"",ROUND(Просчет!$K103,3))</f>
        <v/>
      </c>
      <c r="K39" s="108">
        <f>Просчет!$M103</f>
        <v>3880</v>
      </c>
      <c r="L39" s="109" t="str">
        <f t="shared" si="0"/>
        <v/>
      </c>
    </row>
    <row r="40" spans="2:12" x14ac:dyDescent="0.2">
      <c r="B40" s="91">
        <f>SUBTOTAL(103,$C$21:$C40)</f>
        <v>20</v>
      </c>
      <c r="C40" s="311" t="str">
        <f>Просчет!$C104</f>
        <v>Спецефект гума, другої сторони</v>
      </c>
      <c r="D40" s="311"/>
      <c r="E40" s="311"/>
      <c r="F40" s="311"/>
      <c r="G40" s="311"/>
      <c r="H40" s="311"/>
      <c r="I40" s="154" t="str">
        <f>Просчет!$J104</f>
        <v>м²</v>
      </c>
      <c r="J40" s="154" t="str">
        <f>IF(Просчет!$K104=0,"",ROUND(Просчет!$K104,3))</f>
        <v/>
      </c>
      <c r="K40" s="108">
        <f>Просчет!$M104</f>
        <v>2610</v>
      </c>
      <c r="L40" s="109" t="str">
        <f t="shared" si="0"/>
        <v/>
      </c>
    </row>
    <row r="41" spans="2:12" x14ac:dyDescent="0.2">
      <c r="B41" s="154">
        <f>SUBTOTAL(103,$C$21:$C41)</f>
        <v>21</v>
      </c>
      <c r="C41" s="311" t="str">
        <f>Просчет!$C105</f>
        <v>Спецефект металік + глянець, до 16 мм</v>
      </c>
      <c r="D41" s="311"/>
      <c r="E41" s="311"/>
      <c r="F41" s="311"/>
      <c r="G41" s="311"/>
      <c r="H41" s="311"/>
      <c r="I41" s="154" t="str">
        <f>Просчет!$J105</f>
        <v>м²</v>
      </c>
      <c r="J41" s="154" t="str">
        <f>IF(Просчет!$K105=0,"",ROUND(Просчет!$K105,3))</f>
        <v/>
      </c>
      <c r="K41" s="108">
        <f>Просчет!$M105</f>
        <v>3810</v>
      </c>
      <c r="L41" s="109" t="str">
        <f t="shared" si="0"/>
        <v/>
      </c>
    </row>
    <row r="42" spans="2:12" x14ac:dyDescent="0.2">
      <c r="B42" s="154">
        <f>SUBTOTAL(103,$C$21:$C42)</f>
        <v>22</v>
      </c>
      <c r="C42" s="311" t="str">
        <f>Просчет!$C106</f>
        <v>Спецефект металік+ глянець, 19 мм</v>
      </c>
      <c r="D42" s="311"/>
      <c r="E42" s="311"/>
      <c r="F42" s="311"/>
      <c r="G42" s="311"/>
      <c r="H42" s="311"/>
      <c r="I42" s="154" t="str">
        <f>Просчет!$J106</f>
        <v>м²</v>
      </c>
      <c r="J42" s="154" t="str">
        <f>IF(Просчет!$K106=0,"",ROUND(Просчет!$K106,3))</f>
        <v/>
      </c>
      <c r="K42" s="108">
        <f>Просчет!$M106</f>
        <v>3880</v>
      </c>
      <c r="L42" s="109" t="str">
        <f t="shared" si="0"/>
        <v/>
      </c>
    </row>
    <row r="43" spans="2:12" x14ac:dyDescent="0.2">
      <c r="B43" s="91">
        <f>SUBTOTAL(103,$C$21:$C43)</f>
        <v>23</v>
      </c>
      <c r="C43" s="311" t="str">
        <f>Просчет!$C107</f>
        <v>Спецефект металік+ глянець, 22 мм</v>
      </c>
      <c r="D43" s="311"/>
      <c r="E43" s="311"/>
      <c r="F43" s="311"/>
      <c r="G43" s="311"/>
      <c r="H43" s="311"/>
      <c r="I43" s="154" t="str">
        <f>Просчет!$J107</f>
        <v>м²</v>
      </c>
      <c r="J43" s="154" t="str">
        <f>IF(Просчет!$K107=0,"",ROUND(Просчет!$K107,3))</f>
        <v/>
      </c>
      <c r="K43" s="108">
        <f>Просчет!$M107</f>
        <v>4580</v>
      </c>
      <c r="L43" s="109" t="str">
        <f t="shared" si="0"/>
        <v/>
      </c>
    </row>
    <row r="44" spans="2:12" x14ac:dyDescent="0.2">
      <c r="B44" s="154">
        <f>SUBTOTAL(103,$C$21:$C44)</f>
        <v>24</v>
      </c>
      <c r="C44" s="311" t="str">
        <f>Просчет!$C108</f>
        <v>Спецефект металік+ глянець, другої сторони</v>
      </c>
      <c r="D44" s="311"/>
      <c r="E44" s="311"/>
      <c r="F44" s="311"/>
      <c r="G44" s="311"/>
      <c r="H44" s="311"/>
      <c r="I44" s="154" t="str">
        <f>Просчет!$J108</f>
        <v>м²</v>
      </c>
      <c r="J44" s="154" t="str">
        <f>IF(Просчет!$K108=0,"",ROUND(Просчет!$K108,3))</f>
        <v/>
      </c>
      <c r="K44" s="108">
        <f>Просчет!$M108</f>
        <v>3310</v>
      </c>
      <c r="L44" s="109" t="str">
        <f t="shared" si="0"/>
        <v/>
      </c>
    </row>
    <row r="45" spans="2:12" x14ac:dyDescent="0.2">
      <c r="B45" s="91">
        <f>SUBTOTAL(103,$C$21:$C45)</f>
        <v>25</v>
      </c>
      <c r="C45" s="311" t="str">
        <f>Просчет!$C109</f>
        <v>Спецефект рідке скло, до 16 мм</v>
      </c>
      <c r="D45" s="311"/>
      <c r="E45" s="311"/>
      <c r="F45" s="311"/>
      <c r="G45" s="311"/>
      <c r="H45" s="311"/>
      <c r="I45" s="154" t="str">
        <f>Просчет!$J109</f>
        <v>м²</v>
      </c>
      <c r="J45" s="154" t="str">
        <f>IF(Просчет!$K109=0,"",ROUND(Просчет!$K109,3))</f>
        <v/>
      </c>
      <c r="K45" s="108">
        <f>Просчет!$M109</f>
        <v>3390</v>
      </c>
      <c r="L45" s="109" t="str">
        <f t="shared" si="0"/>
        <v/>
      </c>
    </row>
    <row r="46" spans="2:12" x14ac:dyDescent="0.2">
      <c r="B46" s="154">
        <f>SUBTOTAL(103,$C$21:$C46)</f>
        <v>26</v>
      </c>
      <c r="C46" s="311" t="str">
        <f>Просчет!$C110</f>
        <v>Спецефект рідке скло, 19 мм</v>
      </c>
      <c r="D46" s="311"/>
      <c r="E46" s="311"/>
      <c r="F46" s="311"/>
      <c r="G46" s="311"/>
      <c r="H46" s="311"/>
      <c r="I46" s="154" t="str">
        <f>Просчет!$J110</f>
        <v>м²</v>
      </c>
      <c r="J46" s="154" t="str">
        <f>IF(Просчет!$K110=0,"",ROUND(Просчет!$K110,3))</f>
        <v/>
      </c>
      <c r="K46" s="108">
        <f>Просчет!$M110</f>
        <v>3460</v>
      </c>
      <c r="L46" s="109" t="str">
        <f t="shared" si="0"/>
        <v/>
      </c>
    </row>
    <row r="47" spans="2:12" x14ac:dyDescent="0.2">
      <c r="B47" s="154">
        <f>SUBTOTAL(103,$C$21:$C47)</f>
        <v>27</v>
      </c>
      <c r="C47" s="311" t="str">
        <f>Просчет!$C111</f>
        <v>Спецефект рідке скло, 22 мм</v>
      </c>
      <c r="D47" s="311"/>
      <c r="E47" s="311"/>
      <c r="F47" s="311"/>
      <c r="G47" s="311"/>
      <c r="H47" s="311"/>
      <c r="I47" s="154" t="str">
        <f>Просчет!$J111</f>
        <v>м²</v>
      </c>
      <c r="J47" s="154" t="str">
        <f>IF(Просчет!$K111=0,"",ROUND(Просчет!$K111,3))</f>
        <v/>
      </c>
      <c r="K47" s="108">
        <f>Просчет!$M111</f>
        <v>4160</v>
      </c>
      <c r="L47" s="109" t="str">
        <f t="shared" si="0"/>
        <v/>
      </c>
    </row>
    <row r="48" spans="2:12" x14ac:dyDescent="0.2">
      <c r="B48" s="91">
        <f>SUBTOTAL(103,$C$21:$C48)</f>
        <v>28</v>
      </c>
      <c r="C48" s="311" t="str">
        <f>Просчет!$C112</f>
        <v>Спецефект рідке скло, другої сторони</v>
      </c>
      <c r="D48" s="311"/>
      <c r="E48" s="311"/>
      <c r="F48" s="311"/>
      <c r="G48" s="311"/>
      <c r="H48" s="311"/>
      <c r="I48" s="154" t="str">
        <f>Просчет!$J112</f>
        <v>м²</v>
      </c>
      <c r="J48" s="154" t="str">
        <f>IF(Просчет!$K112=0,"",ROUND(Просчет!$K112,3))</f>
        <v/>
      </c>
      <c r="K48" s="108">
        <f>Просчет!$M112</f>
        <v>2890</v>
      </c>
      <c r="L48" s="109" t="str">
        <f t="shared" si="0"/>
        <v/>
      </c>
    </row>
    <row r="49" spans="2:12" x14ac:dyDescent="0.2">
      <c r="B49" s="91">
        <f>SUBTOTAL(103,$C$21:$C49)</f>
        <v>29</v>
      </c>
      <c r="C49" s="311" t="str">
        <f>Просчет!$C113</f>
        <v>Спецефект перли, графіт, до 16 мм</v>
      </c>
      <c r="D49" s="311"/>
      <c r="E49" s="311"/>
      <c r="F49" s="311"/>
      <c r="G49" s="311"/>
      <c r="H49" s="311"/>
      <c r="I49" s="154" t="str">
        <f>Просчет!$J113</f>
        <v>м²</v>
      </c>
      <c r="J49" s="154" t="str">
        <f>IF(Просчет!$K113=0,"",ROUND(Просчет!$K113,3))</f>
        <v/>
      </c>
      <c r="K49" s="108">
        <f>Просчет!$M113</f>
        <v>3530</v>
      </c>
      <c r="L49" s="109" t="str">
        <f t="shared" si="0"/>
        <v/>
      </c>
    </row>
    <row r="50" spans="2:12" x14ac:dyDescent="0.2">
      <c r="B50" s="91">
        <f>SUBTOTAL(103,$C$21:$C50)</f>
        <v>30</v>
      </c>
      <c r="C50" s="311" t="str">
        <f>Просчет!$C114</f>
        <v>Спецефект перли, графіт, 19 мм</v>
      </c>
      <c r="D50" s="311"/>
      <c r="E50" s="311"/>
      <c r="F50" s="311"/>
      <c r="G50" s="311"/>
      <c r="H50" s="311"/>
      <c r="I50" s="154" t="str">
        <f>Просчет!$J114</f>
        <v>м²</v>
      </c>
      <c r="J50" s="154" t="str">
        <f>IF(Просчет!$K114=0,"",ROUND(Просчет!$K114,3))</f>
        <v/>
      </c>
      <c r="K50" s="108">
        <f>Просчет!$M114</f>
        <v>3100</v>
      </c>
      <c r="L50" s="109" t="str">
        <f t="shared" si="0"/>
        <v/>
      </c>
    </row>
    <row r="51" spans="2:12" x14ac:dyDescent="0.2">
      <c r="B51" s="91">
        <f>SUBTOTAL(103,$C$21:$C51)</f>
        <v>31</v>
      </c>
      <c r="C51" s="311" t="str">
        <f>Просчет!$C115</f>
        <v>Спецефект перли, графіт, 22 мм</v>
      </c>
      <c r="D51" s="311"/>
      <c r="E51" s="311"/>
      <c r="F51" s="311"/>
      <c r="G51" s="311"/>
      <c r="H51" s="311"/>
      <c r="I51" s="154" t="str">
        <f>Просчет!$J115</f>
        <v>м²</v>
      </c>
      <c r="J51" s="154" t="str">
        <f>IF(Просчет!$K115=0,"",ROUND(Просчет!$K115,3))</f>
        <v/>
      </c>
      <c r="K51" s="108">
        <f>Просчет!$M115</f>
        <v>3800</v>
      </c>
      <c r="L51" s="109" t="str">
        <f t="shared" si="0"/>
        <v/>
      </c>
    </row>
    <row r="52" spans="2:12" x14ac:dyDescent="0.2">
      <c r="B52" s="91">
        <f>SUBTOTAL(103,$C$21:$C52)</f>
        <v>32</v>
      </c>
      <c r="C52" s="311" t="str">
        <f>Просчет!$C116</f>
        <v>Спецефект перли, графіт, другої сторони</v>
      </c>
      <c r="D52" s="311"/>
      <c r="E52" s="311"/>
      <c r="F52" s="311"/>
      <c r="G52" s="311"/>
      <c r="H52" s="311"/>
      <c r="I52" s="154" t="str">
        <f>Просчет!$J116</f>
        <v>м²</v>
      </c>
      <c r="J52" s="154" t="str">
        <f>IF(Просчет!$K116=0,"",ROUND(Просчет!$K116,3))</f>
        <v/>
      </c>
      <c r="K52" s="108">
        <f>Просчет!$M116</f>
        <v>3030</v>
      </c>
      <c r="L52" s="109" t="str">
        <f t="shared" si="0"/>
        <v/>
      </c>
    </row>
    <row r="53" spans="2:12" x14ac:dyDescent="0.2">
      <c r="B53" s="91">
        <f>SUBTOTAL(103,$C$21:$C53)</f>
        <v>33</v>
      </c>
      <c r="C53" s="311" t="str">
        <f>Просчет!$C117</f>
        <v>Спецефект зоряне небо, до 16 мм</v>
      </c>
      <c r="D53" s="311"/>
      <c r="E53" s="311"/>
      <c r="F53" s="311"/>
      <c r="G53" s="311"/>
      <c r="H53" s="311"/>
      <c r="I53" s="154" t="str">
        <f>Просчет!$J117</f>
        <v>м²</v>
      </c>
      <c r="J53" s="154" t="str">
        <f>IF(Просчет!$K117=0,"",ROUND(Просчет!$K117,3))</f>
        <v/>
      </c>
      <c r="K53" s="108">
        <f>Просчет!$M117</f>
        <v>3740</v>
      </c>
      <c r="L53" s="109" t="str">
        <f t="shared" si="0"/>
        <v/>
      </c>
    </row>
    <row r="54" spans="2:12" x14ac:dyDescent="0.2">
      <c r="B54" s="91">
        <f>SUBTOTAL(103,$C$21:$C54)</f>
        <v>34</v>
      </c>
      <c r="C54" s="311" t="str">
        <f>Просчет!$C118</f>
        <v>Спецефект зоряне небо, 19 мм</v>
      </c>
      <c r="D54" s="311"/>
      <c r="E54" s="311"/>
      <c r="F54" s="311"/>
      <c r="G54" s="311"/>
      <c r="H54" s="311"/>
      <c r="I54" s="154" t="str">
        <f>Просчет!$J118</f>
        <v>м²</v>
      </c>
      <c r="J54" s="154" t="str">
        <f>IF(Просчет!$K118=0,"",ROUND(Просчет!$K118,3))</f>
        <v/>
      </c>
      <c r="K54" s="108">
        <f>Просчет!$M118</f>
        <v>3810</v>
      </c>
      <c r="L54" s="109" t="str">
        <f t="shared" si="0"/>
        <v/>
      </c>
    </row>
    <row r="55" spans="2:12" x14ac:dyDescent="0.2">
      <c r="B55" s="154">
        <f>SUBTOTAL(103,$C$21:$C55)</f>
        <v>35</v>
      </c>
      <c r="C55" s="311" t="str">
        <f>Просчет!$C119</f>
        <v>Спецефект зоряне небо, 22 мм</v>
      </c>
      <c r="D55" s="311"/>
      <c r="E55" s="311"/>
      <c r="F55" s="311"/>
      <c r="G55" s="311"/>
      <c r="H55" s="311"/>
      <c r="I55" s="154" t="str">
        <f>Просчет!$J119</f>
        <v>м²</v>
      </c>
      <c r="J55" s="154" t="str">
        <f>IF(Просчет!$K119=0,"",ROUND(Просчет!$K119,3))</f>
        <v/>
      </c>
      <c r="K55" s="108">
        <f>Просчет!$M119</f>
        <v>4510</v>
      </c>
      <c r="L55" s="109" t="str">
        <f t="shared" si="0"/>
        <v/>
      </c>
    </row>
    <row r="56" spans="2:12" x14ac:dyDescent="0.2">
      <c r="B56" s="91">
        <f>SUBTOTAL(103,$C$21:$C56)</f>
        <v>36</v>
      </c>
      <c r="C56" s="311" t="str">
        <f>Просчет!$C120</f>
        <v>Спецефект зоряне небо, другої сторони</v>
      </c>
      <c r="D56" s="311"/>
      <c r="E56" s="311"/>
      <c r="F56" s="311"/>
      <c r="G56" s="311"/>
      <c r="H56" s="311"/>
      <c r="I56" s="154" t="str">
        <f>Просчет!$J120</f>
        <v>м²</v>
      </c>
      <c r="J56" s="154" t="str">
        <f>IF(Просчет!$K120=0,"",ROUND(Просчет!$K120,3))</f>
        <v/>
      </c>
      <c r="K56" s="108">
        <f>Просчет!$M120</f>
        <v>3240</v>
      </c>
      <c r="L56" s="109" t="str">
        <f t="shared" si="0"/>
        <v/>
      </c>
    </row>
    <row r="57" spans="2:12" x14ac:dyDescent="0.2">
      <c r="B57" s="154">
        <f>SUBTOTAL(103,$C$21:$C57)</f>
        <v>37</v>
      </c>
      <c r="C57" s="311" t="str">
        <f>Просчет!$C121</f>
        <v>Хамелеон 2-х кольоровий + глянець з поліруванням до 16 мм</v>
      </c>
      <c r="D57" s="311"/>
      <c r="E57" s="311"/>
      <c r="F57" s="311"/>
      <c r="G57" s="311"/>
      <c r="H57" s="311"/>
      <c r="I57" s="154" t="str">
        <f>Просчет!$J121</f>
        <v>м²</v>
      </c>
      <c r="J57" s="154" t="str">
        <f>IF(Просчет!$K121=0,"",ROUND(Просчет!$K121,3))</f>
        <v/>
      </c>
      <c r="K57" s="108">
        <f>Просчет!$M121</f>
        <v>4580</v>
      </c>
      <c r="L57" s="109" t="str">
        <f t="shared" si="0"/>
        <v/>
      </c>
    </row>
    <row r="58" spans="2:12" x14ac:dyDescent="0.2">
      <c r="B58" s="91">
        <f>SUBTOTAL(103,$C$21:$C58)</f>
        <v>38</v>
      </c>
      <c r="C58" s="311" t="str">
        <f>Просчет!$C122</f>
        <v>Хамелеон 2-х кольоровий + глянець з поліруванням 19 мм</v>
      </c>
      <c r="D58" s="311"/>
      <c r="E58" s="311"/>
      <c r="F58" s="311"/>
      <c r="G58" s="311"/>
      <c r="H58" s="311"/>
      <c r="I58" s="154" t="str">
        <f>Просчет!$J122</f>
        <v>м²</v>
      </c>
      <c r="J58" s="154" t="str">
        <f>IF(Просчет!$K122=0,"",ROUND(Просчет!$K122,3))</f>
        <v/>
      </c>
      <c r="K58" s="108">
        <f>Просчет!$M122</f>
        <v>4650</v>
      </c>
      <c r="L58" s="109" t="str">
        <f t="shared" si="0"/>
        <v/>
      </c>
    </row>
    <row r="59" spans="2:12" x14ac:dyDescent="0.2">
      <c r="B59" s="91">
        <f>SUBTOTAL(103,$C$21:$C59)</f>
        <v>39</v>
      </c>
      <c r="C59" s="311" t="str">
        <f>Просчет!$C123</f>
        <v>Хамелеон 2-х кольоровий + глянець з поліруванням 22 мм</v>
      </c>
      <c r="D59" s="311"/>
      <c r="E59" s="311"/>
      <c r="F59" s="311"/>
      <c r="G59" s="311"/>
      <c r="H59" s="311"/>
      <c r="I59" s="154" t="str">
        <f>Просчет!$J123</f>
        <v>м²</v>
      </c>
      <c r="J59" s="154" t="str">
        <f>IF(Просчет!$K123=0,"",ROUND(Просчет!$K123,3))</f>
        <v/>
      </c>
      <c r="K59" s="108">
        <f>Просчет!$M123</f>
        <v>5350</v>
      </c>
      <c r="L59" s="109" t="str">
        <f t="shared" si="0"/>
        <v/>
      </c>
    </row>
    <row r="60" spans="2:12" x14ac:dyDescent="0.2">
      <c r="B60" s="91">
        <f>SUBTOTAL(103,$C$21:$C60)</f>
        <v>40</v>
      </c>
      <c r="C60" s="311" t="str">
        <f>Просчет!$C124</f>
        <v>Хамелеон 3-х кольоровий + глянець з поліруванням до 16 мм</v>
      </c>
      <c r="D60" s="311"/>
      <c r="E60" s="311"/>
      <c r="F60" s="311"/>
      <c r="G60" s="311"/>
      <c r="H60" s="311"/>
      <c r="I60" s="154" t="str">
        <f>Просчет!$J124</f>
        <v>м²</v>
      </c>
      <c r="J60" s="154" t="str">
        <f>IF(Просчет!$K124=0,"",ROUND(Просчет!$K124,3))</f>
        <v/>
      </c>
      <c r="K60" s="108">
        <f>Просчет!$M124</f>
        <v>5140</v>
      </c>
      <c r="L60" s="109" t="str">
        <f t="shared" si="0"/>
        <v/>
      </c>
    </row>
    <row r="61" spans="2:12" x14ac:dyDescent="0.2">
      <c r="B61" s="91">
        <f>SUBTOTAL(103,$C$21:$C61)</f>
        <v>41</v>
      </c>
      <c r="C61" s="311" t="str">
        <f>Просчет!$C125</f>
        <v>Хамелеон 3-х кольоровий + глянець з поліруванням 19 мм</v>
      </c>
      <c r="D61" s="311"/>
      <c r="E61" s="311"/>
      <c r="F61" s="311"/>
      <c r="G61" s="311"/>
      <c r="H61" s="311"/>
      <c r="I61" s="154" t="str">
        <f>Просчет!$J125</f>
        <v>м²</v>
      </c>
      <c r="J61" s="154" t="str">
        <f>IF(Просчет!$K125=0,"",ROUND(Просчет!$K125,3))</f>
        <v/>
      </c>
      <c r="K61" s="108">
        <f>Просчет!$M125</f>
        <v>5210</v>
      </c>
      <c r="L61" s="109" t="str">
        <f t="shared" si="0"/>
        <v/>
      </c>
    </row>
    <row r="62" spans="2:12" x14ac:dyDescent="0.2">
      <c r="B62" s="154">
        <f>SUBTOTAL(103,$C$21:$C62)</f>
        <v>42</v>
      </c>
      <c r="C62" s="311" t="str">
        <f>Просчет!$C126</f>
        <v>Хамелеон 3-х кольоровий + глянець з поліруванням 22 мм</v>
      </c>
      <c r="D62" s="311"/>
      <c r="E62" s="311"/>
      <c r="F62" s="311"/>
      <c r="G62" s="311"/>
      <c r="H62" s="311"/>
      <c r="I62" s="154" t="str">
        <f>Просчет!$J126</f>
        <v>м²</v>
      </c>
      <c r="J62" s="154" t="str">
        <f>IF(Просчет!$K126=0,"",ROUND(Просчет!$K126,3))</f>
        <v/>
      </c>
      <c r="K62" s="108">
        <f>Просчет!$M126</f>
        <v>5910</v>
      </c>
      <c r="L62" s="109" t="str">
        <f t="shared" si="0"/>
        <v/>
      </c>
    </row>
    <row r="63" spans="2:12" x14ac:dyDescent="0.2">
      <c r="B63" s="91">
        <f>SUBTOTAL(103,$C$21:$C63)</f>
        <v>43</v>
      </c>
      <c r="C63" s="311" t="str">
        <f>Просчет!$C127</f>
        <v>Фотодрук + глянець з поліруванням до 16 мм</v>
      </c>
      <c r="D63" s="311"/>
      <c r="E63" s="311"/>
      <c r="F63" s="311"/>
      <c r="G63" s="311"/>
      <c r="H63" s="311"/>
      <c r="I63" s="154" t="str">
        <f>Просчет!$J127</f>
        <v>м²</v>
      </c>
      <c r="J63" s="154" t="str">
        <f>IF(Просчет!$K127=0,"",ROUND(Просчет!$K127,3))</f>
        <v/>
      </c>
      <c r="K63" s="108">
        <f>Просчет!$M127</f>
        <v>5910</v>
      </c>
      <c r="L63" s="109" t="str">
        <f t="shared" si="0"/>
        <v/>
      </c>
    </row>
    <row r="64" spans="2:12" x14ac:dyDescent="0.2">
      <c r="B64" s="91">
        <f>SUBTOTAL(103,$C$21:$C64)</f>
        <v>44</v>
      </c>
      <c r="C64" s="311" t="str">
        <f>Просчет!$C128</f>
        <v>Фотодрук + глянець з поліруванням 19 мм</v>
      </c>
      <c r="D64" s="311"/>
      <c r="E64" s="311"/>
      <c r="F64" s="311"/>
      <c r="G64" s="311"/>
      <c r="H64" s="311"/>
      <c r="I64" s="154" t="str">
        <f>Просчет!$J128</f>
        <v>м²</v>
      </c>
      <c r="J64" s="154" t="str">
        <f>IF(Просчет!$K128=0,"",ROUND(Просчет!$K128,3))</f>
        <v/>
      </c>
      <c r="K64" s="108">
        <f>Просчет!$M128</f>
        <v>5980</v>
      </c>
      <c r="L64" s="109" t="str">
        <f t="shared" si="0"/>
        <v/>
      </c>
    </row>
    <row r="65" spans="2:12" x14ac:dyDescent="0.2">
      <c r="B65" s="154">
        <f>SUBTOTAL(103,$C$21:$C65)</f>
        <v>45</v>
      </c>
      <c r="C65" s="311" t="str">
        <f>Просчет!$C129</f>
        <v>Фотодрук + глянець з поліруванням 22 мм</v>
      </c>
      <c r="D65" s="311"/>
      <c r="E65" s="311"/>
      <c r="F65" s="311"/>
      <c r="G65" s="311"/>
      <c r="H65" s="311"/>
      <c r="I65" s="154" t="str">
        <f>Просчет!$J129</f>
        <v>м²</v>
      </c>
      <c r="J65" s="154" t="str">
        <f>IF(Просчет!$K129=0,"",ROUND(Просчет!$K129,3))</f>
        <v/>
      </c>
      <c r="K65" s="108">
        <f>Просчет!$M129</f>
        <v>6680</v>
      </c>
      <c r="L65" s="109" t="str">
        <f t="shared" si="0"/>
        <v/>
      </c>
    </row>
    <row r="66" spans="2:12" x14ac:dyDescent="0.2">
      <c r="B66" s="91">
        <f>SUBTOTAL(103,$C$21:$C66)</f>
        <v>46</v>
      </c>
      <c r="C66" s="311" t="str">
        <f>Просчет!$C130</f>
        <v xml:space="preserve">Матове покриття радіусний фасад 16 мм </v>
      </c>
      <c r="D66" s="311"/>
      <c r="E66" s="311"/>
      <c r="F66" s="311"/>
      <c r="G66" s="311"/>
      <c r="H66" s="311"/>
      <c r="I66" s="154" t="str">
        <f>Просчет!$J130</f>
        <v>м²</v>
      </c>
      <c r="J66" s="154" t="str">
        <f>IF(Просчет!$K130=0,"",ROUND(Просчет!$K130,3))</f>
        <v/>
      </c>
      <c r="K66" s="108">
        <f>Просчет!$M130</f>
        <v>4370</v>
      </c>
      <c r="L66" s="109" t="str">
        <f t="shared" si="0"/>
        <v/>
      </c>
    </row>
    <row r="67" spans="2:12" x14ac:dyDescent="0.2">
      <c r="B67" s="91">
        <f>SUBTOTAL(103,$C$21:$C67)</f>
        <v>47</v>
      </c>
      <c r="C67" s="311" t="str">
        <f>Просчет!$C131</f>
        <v>Матове покриття радіусний фасад 19 мм</v>
      </c>
      <c r="D67" s="311"/>
      <c r="E67" s="311"/>
      <c r="F67" s="311"/>
      <c r="G67" s="311"/>
      <c r="H67" s="311"/>
      <c r="I67" s="154" t="str">
        <f>Просчет!$J131</f>
        <v>м²</v>
      </c>
      <c r="J67" s="154" t="str">
        <f>IF(Просчет!$K131=0,"",ROUND(Просчет!$K131,3))</f>
        <v/>
      </c>
      <c r="K67" s="108">
        <f>Просчет!$M131</f>
        <v>4440</v>
      </c>
      <c r="L67" s="109" t="str">
        <f t="shared" si="0"/>
        <v/>
      </c>
    </row>
    <row r="68" spans="2:12" x14ac:dyDescent="0.2">
      <c r="B68" s="91">
        <f>SUBTOTAL(103,$C$21:$C68)</f>
        <v>48</v>
      </c>
      <c r="C68" s="311" t="str">
        <f>Просчет!$C132</f>
        <v xml:space="preserve">Матове покриття другої сторони радіусний фасад </v>
      </c>
      <c r="D68" s="311"/>
      <c r="E68" s="311"/>
      <c r="F68" s="311"/>
      <c r="G68" s="311"/>
      <c r="H68" s="311"/>
      <c r="I68" s="154" t="str">
        <f>Просчет!$J132</f>
        <v>м²</v>
      </c>
      <c r="J68" s="154" t="str">
        <f>IF(Просчет!$K132=0,"",ROUND(Просчет!$K132,3))</f>
        <v/>
      </c>
      <c r="K68" s="108">
        <f>Просчет!$M132</f>
        <v>3870</v>
      </c>
      <c r="L68" s="109" t="str">
        <f t="shared" si="0"/>
        <v/>
      </c>
    </row>
    <row r="69" spans="2:12" x14ac:dyDescent="0.2">
      <c r="B69" s="91">
        <f>SUBTOTAL(103,$C$21:$C69)</f>
        <v>49</v>
      </c>
      <c r="C69" s="311" t="str">
        <f>Просчет!$C133</f>
        <v>Софт покриття радіусний фасад 16 мм</v>
      </c>
      <c r="D69" s="311"/>
      <c r="E69" s="311"/>
      <c r="F69" s="311"/>
      <c r="G69" s="311"/>
      <c r="H69" s="311"/>
      <c r="I69" s="154" t="str">
        <f>Просчет!$J133</f>
        <v>м²</v>
      </c>
      <c r="J69" s="154" t="str">
        <f>IF(Просчет!$K133=0,"",ROUND(Просчет!$K133,3))</f>
        <v/>
      </c>
      <c r="K69" s="108">
        <f>Просчет!$M133</f>
        <v>4370</v>
      </c>
      <c r="L69" s="109" t="str">
        <f t="shared" si="0"/>
        <v/>
      </c>
    </row>
    <row r="70" spans="2:12" x14ac:dyDescent="0.2">
      <c r="B70" s="91">
        <f>SUBTOTAL(103,$C$21:$C70)</f>
        <v>50</v>
      </c>
      <c r="C70" s="311" t="str">
        <f>Просчет!$C134</f>
        <v>Софт покриття радіусний фасад 19 мм</v>
      </c>
      <c r="D70" s="311"/>
      <c r="E70" s="311"/>
      <c r="F70" s="311"/>
      <c r="G70" s="311"/>
      <c r="H70" s="311"/>
      <c r="I70" s="154" t="str">
        <f>Просчет!$J134</f>
        <v>м²</v>
      </c>
      <c r="J70" s="154" t="str">
        <f>IF(Просчет!$K134=0,"",ROUND(Просчет!$K134,3))</f>
        <v/>
      </c>
      <c r="K70" s="108">
        <f>Просчет!$M134</f>
        <v>4440</v>
      </c>
      <c r="L70" s="109" t="str">
        <f t="shared" si="0"/>
        <v/>
      </c>
    </row>
    <row r="71" spans="2:12" x14ac:dyDescent="0.2">
      <c r="B71" s="91">
        <f>SUBTOTAL(103,$C$21:$C71)</f>
        <v>51</v>
      </c>
      <c r="C71" s="311" t="str">
        <f>Просчет!$C135</f>
        <v xml:space="preserve">Софт покриття другої сторони радіусний фасад </v>
      </c>
      <c r="D71" s="311"/>
      <c r="E71" s="311"/>
      <c r="F71" s="311"/>
      <c r="G71" s="311"/>
      <c r="H71" s="311"/>
      <c r="I71" s="154" t="str">
        <f>Просчет!$J135</f>
        <v>м²</v>
      </c>
      <c r="J71" s="154" t="str">
        <f>IF(Просчет!$K135=0,"",ROUND(Просчет!$K135,3))</f>
        <v/>
      </c>
      <c r="K71" s="108">
        <f>Просчет!$M135</f>
        <v>3870</v>
      </c>
      <c r="L71" s="109" t="str">
        <f t="shared" si="0"/>
        <v/>
      </c>
    </row>
    <row r="72" spans="2:12" x14ac:dyDescent="0.2">
      <c r="B72" s="91">
        <f>SUBTOTAL(103,$C$21:$C72)</f>
        <v>52</v>
      </c>
      <c r="C72" s="311" t="str">
        <f>Просчет!$C136</f>
        <v>Глянцеве покриття з поліруванням радіусний фасад 16 мм</v>
      </c>
      <c r="D72" s="311"/>
      <c r="E72" s="311"/>
      <c r="F72" s="311"/>
      <c r="G72" s="311"/>
      <c r="H72" s="311"/>
      <c r="I72" s="154" t="str">
        <f>Просчет!$J136</f>
        <v>м²</v>
      </c>
      <c r="J72" s="154" t="str">
        <f>IF(Просчет!$K136=0,"",ROUND(Просчет!$K136,3))</f>
        <v/>
      </c>
      <c r="K72" s="108">
        <f>Просчет!$M136</f>
        <v>4860</v>
      </c>
      <c r="L72" s="109" t="str">
        <f t="shared" si="0"/>
        <v/>
      </c>
    </row>
    <row r="73" spans="2:12" x14ac:dyDescent="0.2">
      <c r="B73" s="91">
        <f>SUBTOTAL(103,$C$21:$C73)</f>
        <v>53</v>
      </c>
      <c r="C73" s="311" t="str">
        <f>Просчет!$C137</f>
        <v>Глянцеве покриття з поліруванням радіусний фасад 19 мм</v>
      </c>
      <c r="D73" s="311"/>
      <c r="E73" s="311"/>
      <c r="F73" s="311"/>
      <c r="G73" s="311"/>
      <c r="H73" s="311"/>
      <c r="I73" s="154" t="str">
        <f>Просчет!$J137</f>
        <v>м²</v>
      </c>
      <c r="J73" s="154" t="str">
        <f>IF(Просчет!$K137=0,"",ROUND(Просчет!$K137,3))</f>
        <v/>
      </c>
      <c r="K73" s="108">
        <f>Просчет!$M137</f>
        <v>4930</v>
      </c>
      <c r="L73" s="109" t="str">
        <f t="shared" si="0"/>
        <v/>
      </c>
    </row>
    <row r="74" spans="2:12" x14ac:dyDescent="0.2">
      <c r="B74" s="91">
        <f>SUBTOTAL(103,$C$21:$C74)</f>
        <v>54</v>
      </c>
      <c r="C74" s="311" t="str">
        <f>Просчет!$C138</f>
        <v xml:space="preserve">Глянцеве покриття з поліруванням другої сторони радіусний фасад </v>
      </c>
      <c r="D74" s="311"/>
      <c r="E74" s="311"/>
      <c r="F74" s="311"/>
      <c r="G74" s="311"/>
      <c r="H74" s="311"/>
      <c r="I74" s="154" t="str">
        <f>Просчет!$J138</f>
        <v>м²</v>
      </c>
      <c r="J74" s="154" t="str">
        <f>IF(Просчет!$K138=0,"",ROUND(Просчет!$K138,3))</f>
        <v/>
      </c>
      <c r="K74" s="108">
        <f>Просчет!$M138</f>
        <v>4360</v>
      </c>
      <c r="L74" s="109" t="str">
        <f t="shared" si="0"/>
        <v/>
      </c>
    </row>
    <row r="75" spans="2:12" x14ac:dyDescent="0.2">
      <c r="B75" s="91">
        <f>SUBTOTAL(103,$C$21:$C75)</f>
        <v>55</v>
      </c>
      <c r="C75" s="311" t="str">
        <f>Просчет!$C139</f>
        <v>Спецефект перл. ср/зол.+глянець,радіусний фасад 16 мм</v>
      </c>
      <c r="D75" s="311"/>
      <c r="E75" s="311"/>
      <c r="F75" s="311"/>
      <c r="G75" s="311"/>
      <c r="H75" s="311"/>
      <c r="I75" s="154" t="str">
        <f>Просчет!$J139</f>
        <v>м²</v>
      </c>
      <c r="J75" s="154" t="str">
        <f>IF(Просчет!$K139=0,"",ROUND(Просчет!$K139,3))</f>
        <v/>
      </c>
      <c r="K75" s="108">
        <f>Просчет!$M139</f>
        <v>5070</v>
      </c>
      <c r="L75" s="109" t="str">
        <f t="shared" si="0"/>
        <v/>
      </c>
    </row>
    <row r="76" spans="2:12" x14ac:dyDescent="0.2">
      <c r="B76" s="91">
        <f>SUBTOTAL(103,$C$21:$C76)</f>
        <v>56</v>
      </c>
      <c r="C76" s="311" t="str">
        <f>Просчет!$C140</f>
        <v>Спецефект перл. ср/зол.+глянець,радіусний фасад 19мм</v>
      </c>
      <c r="D76" s="311"/>
      <c r="E76" s="311"/>
      <c r="F76" s="311"/>
      <c r="G76" s="311"/>
      <c r="H76" s="311"/>
      <c r="I76" s="154" t="str">
        <f>Просчет!$J140</f>
        <v>м²</v>
      </c>
      <c r="J76" s="154" t="str">
        <f>IF(Просчет!$K140=0,"",ROUND(Просчет!$K140,3))</f>
        <v/>
      </c>
      <c r="K76" s="108">
        <f>Просчет!$M140</f>
        <v>5140</v>
      </c>
      <c r="L76" s="109" t="str">
        <f t="shared" si="0"/>
        <v/>
      </c>
    </row>
    <row r="77" spans="2:12" x14ac:dyDescent="0.2">
      <c r="B77" s="91">
        <f>SUBTOTAL(103,$C$21:$C77)</f>
        <v>57</v>
      </c>
      <c r="C77" s="311" t="str">
        <f>Просчет!$C141</f>
        <v>Спецефект перл. ср/зол.+глянець, другої сторони радіусний фасад</v>
      </c>
      <c r="D77" s="311"/>
      <c r="E77" s="311"/>
      <c r="F77" s="311"/>
      <c r="G77" s="311"/>
      <c r="H77" s="311"/>
      <c r="I77" s="154" t="str">
        <f>Просчет!$J141</f>
        <v>м²</v>
      </c>
      <c r="J77" s="154" t="str">
        <f>IF(Просчет!$K141=0,"",ROUND(Просчет!$K141,3))</f>
        <v/>
      </c>
      <c r="K77" s="108">
        <f>Просчет!$M141</f>
        <v>4570</v>
      </c>
      <c r="L77" s="109" t="str">
        <f t="shared" si="0"/>
        <v/>
      </c>
    </row>
    <row r="78" spans="2:12" x14ac:dyDescent="0.2">
      <c r="B78" s="91">
        <f>SUBTOTAL(103,$C$21:$C78)</f>
        <v>58</v>
      </c>
      <c r="C78" s="311" t="str">
        <f>Просчет!$C142</f>
        <v>Спецефект гума, радіусний фасад 16 мм</v>
      </c>
      <c r="D78" s="311"/>
      <c r="E78" s="311"/>
      <c r="F78" s="311"/>
      <c r="G78" s="311"/>
      <c r="H78" s="311"/>
      <c r="I78" s="154" t="str">
        <f>Просчет!$J142</f>
        <v>м²</v>
      </c>
      <c r="J78" s="154" t="str">
        <f>IF(Просчет!$K142=0,"",ROUND(Просчет!$K142,3))</f>
        <v/>
      </c>
      <c r="K78" s="108">
        <f>Просчет!$M142</f>
        <v>4930</v>
      </c>
      <c r="L78" s="109" t="str">
        <f t="shared" si="0"/>
        <v/>
      </c>
    </row>
    <row r="79" spans="2:12" x14ac:dyDescent="0.2">
      <c r="B79" s="91">
        <f>SUBTOTAL(103,$C$21:$C79)</f>
        <v>59</v>
      </c>
      <c r="C79" s="311" t="str">
        <f>Просчет!$C143</f>
        <v>Спецефект гума, радіусний фасад 19 мм</v>
      </c>
      <c r="D79" s="311"/>
      <c r="E79" s="311"/>
      <c r="F79" s="311"/>
      <c r="G79" s="311"/>
      <c r="H79" s="311"/>
      <c r="I79" s="154" t="str">
        <f>Просчет!$J143</f>
        <v>м²</v>
      </c>
      <c r="J79" s="154" t="str">
        <f>IF(Просчет!$K143=0,"",ROUND(Просчет!$K143,3))</f>
        <v/>
      </c>
      <c r="K79" s="108">
        <f>Просчет!$M143</f>
        <v>5000</v>
      </c>
      <c r="L79" s="109" t="str">
        <f t="shared" si="0"/>
        <v/>
      </c>
    </row>
    <row r="80" spans="2:12" x14ac:dyDescent="0.2">
      <c r="B80" s="91">
        <f>SUBTOTAL(103,$C$21:$C80)</f>
        <v>60</v>
      </c>
      <c r="C80" s="311" t="str">
        <f>Просчет!$C144</f>
        <v>Спецефект гума, другої сторони радіусний фасад</v>
      </c>
      <c r="D80" s="311"/>
      <c r="E80" s="311"/>
      <c r="F80" s="311"/>
      <c r="G80" s="311"/>
      <c r="H80" s="311"/>
      <c r="I80" s="154" t="str">
        <f>Просчет!$J144</f>
        <v>м²</v>
      </c>
      <c r="J80" s="154" t="str">
        <f>IF(Просчет!$K144=0,"",ROUND(Просчет!$K144,3))</f>
        <v/>
      </c>
      <c r="K80" s="108">
        <f>Просчет!$M144</f>
        <v>4570</v>
      </c>
      <c r="L80" s="109" t="str">
        <f t="shared" si="0"/>
        <v/>
      </c>
    </row>
    <row r="81" spans="2:12" x14ac:dyDescent="0.2">
      <c r="B81" s="91">
        <f>SUBTOTAL(103,$C$21:$C81)</f>
        <v>61</v>
      </c>
      <c r="C81" s="311" t="str">
        <f>Просчет!$C145</f>
        <v>Спецефект металік + глянець, радіусний фасад 16 мм</v>
      </c>
      <c r="D81" s="311"/>
      <c r="E81" s="311"/>
      <c r="F81" s="311"/>
      <c r="G81" s="311"/>
      <c r="H81" s="311"/>
      <c r="I81" s="154" t="str">
        <f>Просчет!$J145</f>
        <v>м²</v>
      </c>
      <c r="J81" s="154" t="str">
        <f>IF(Просчет!$K145=0,"",ROUND(Просчет!$K145,3))</f>
        <v/>
      </c>
      <c r="K81" s="108">
        <f>Просчет!$M145</f>
        <v>5630</v>
      </c>
      <c r="L81" s="109" t="str">
        <f t="shared" si="0"/>
        <v/>
      </c>
    </row>
    <row r="82" spans="2:12" x14ac:dyDescent="0.2">
      <c r="B82" s="91">
        <f>SUBTOTAL(103,$C$21:$C82)</f>
        <v>62</v>
      </c>
      <c r="C82" s="311" t="str">
        <f>Просчет!$C146</f>
        <v>Спецефект металік+ глянець, радіусний фасад 19 мм</v>
      </c>
      <c r="D82" s="311"/>
      <c r="E82" s="311"/>
      <c r="F82" s="311"/>
      <c r="G82" s="311"/>
      <c r="H82" s="311"/>
      <c r="I82" s="154" t="str">
        <f>Просчет!$J146</f>
        <v>м²</v>
      </c>
      <c r="J82" s="154" t="str">
        <f>IF(Просчет!$K146=0,"",ROUND(Просчет!$K146,3))</f>
        <v/>
      </c>
      <c r="K82" s="108">
        <f>Просчет!$M146</f>
        <v>5700</v>
      </c>
      <c r="L82" s="109" t="str">
        <f t="shared" si="0"/>
        <v/>
      </c>
    </row>
    <row r="83" spans="2:12" x14ac:dyDescent="0.2">
      <c r="B83" s="91">
        <f>SUBTOTAL(103,$C$21:$C83)</f>
        <v>63</v>
      </c>
      <c r="C83" s="311" t="str">
        <f>Просчет!$C147</f>
        <v>Спецефект металік+ глянець, другої сторони радіусний фасад</v>
      </c>
      <c r="D83" s="311"/>
      <c r="E83" s="311"/>
      <c r="F83" s="311"/>
      <c r="G83" s="311"/>
      <c r="H83" s="311"/>
      <c r="I83" s="154" t="str">
        <f>Просчет!$J147</f>
        <v>м²</v>
      </c>
      <c r="J83" s="154" t="str">
        <f>IF(Просчет!$K147=0,"",ROUND(Просчет!$K147,3))</f>
        <v/>
      </c>
      <c r="K83" s="108">
        <f>Просчет!$M147</f>
        <v>5130</v>
      </c>
      <c r="L83" s="109" t="str">
        <f t="shared" si="0"/>
        <v/>
      </c>
    </row>
    <row r="84" spans="2:12" x14ac:dyDescent="0.2">
      <c r="B84" s="91">
        <f>SUBTOTAL(103,$C$21:$C84)</f>
        <v>64</v>
      </c>
      <c r="C84" s="311" t="str">
        <f>Просчет!$C148</f>
        <v>Спецефект рідке скло, радіусний фасад 16 мм</v>
      </c>
      <c r="D84" s="311"/>
      <c r="E84" s="311"/>
      <c r="F84" s="311"/>
      <c r="G84" s="311"/>
      <c r="H84" s="311"/>
      <c r="I84" s="154" t="str">
        <f>Просчет!$J148</f>
        <v>м²</v>
      </c>
      <c r="J84" s="154" t="str">
        <f>IF(Просчет!$K148=0,"",ROUND(Просчет!$K148,3))</f>
        <v/>
      </c>
      <c r="K84" s="108">
        <f>Просчет!$M148</f>
        <v>5280</v>
      </c>
      <c r="L84" s="109" t="str">
        <f t="shared" si="0"/>
        <v/>
      </c>
    </row>
    <row r="85" spans="2:12" x14ac:dyDescent="0.2">
      <c r="B85" s="91">
        <f>SUBTOTAL(103,$C$21:$C85)</f>
        <v>65</v>
      </c>
      <c r="C85" s="311" t="str">
        <f>Просчет!$C149</f>
        <v>Спецефект рідке скло, радіусний фасад 19 мм</v>
      </c>
      <c r="D85" s="311"/>
      <c r="E85" s="311"/>
      <c r="F85" s="311"/>
      <c r="G85" s="311"/>
      <c r="H85" s="311"/>
      <c r="I85" s="154" t="str">
        <f>Просчет!$J149</f>
        <v>м²</v>
      </c>
      <c r="J85" s="154" t="str">
        <f>IF(Просчет!$K149=0,"",ROUND(Просчет!$K149,3))</f>
        <v/>
      </c>
      <c r="K85" s="108">
        <f>Просчет!$M149</f>
        <v>5350</v>
      </c>
      <c r="L85" s="109" t="str">
        <f t="shared" si="0"/>
        <v/>
      </c>
    </row>
    <row r="86" spans="2:12" x14ac:dyDescent="0.2">
      <c r="B86" s="91">
        <f>SUBTOTAL(103,$C$21:$C86)</f>
        <v>66</v>
      </c>
      <c r="C86" s="311" t="str">
        <f>Просчет!$C150</f>
        <v>Спецефект рідке скло, другої сторони радіусний фасад</v>
      </c>
      <c r="D86" s="311"/>
      <c r="E86" s="311"/>
      <c r="F86" s="311"/>
      <c r="G86" s="311"/>
      <c r="H86" s="311"/>
      <c r="I86" s="154" t="str">
        <f>Просчет!$J150</f>
        <v>м²</v>
      </c>
      <c r="J86" s="154" t="str">
        <f>IF(Просчет!$K150=0,"",ROUND(Просчет!$K150,3))</f>
        <v/>
      </c>
      <c r="K86" s="108">
        <f>Просчет!$M150</f>
        <v>4780</v>
      </c>
      <c r="L86" s="109" t="str">
        <f t="shared" ref="L86:L113" si="1">IF($J86="","",J86*K86)</f>
        <v/>
      </c>
    </row>
    <row r="87" spans="2:12" x14ac:dyDescent="0.2">
      <c r="B87" s="91">
        <f>SUBTOTAL(103,$C$21:$C87)</f>
        <v>67</v>
      </c>
      <c r="C87" s="311" t="str">
        <f>Просчет!$C151</f>
        <v>Спецефект перли, графіт, радіусний фасад 16 мм</v>
      </c>
      <c r="D87" s="311"/>
      <c r="E87" s="311"/>
      <c r="F87" s="311"/>
      <c r="G87" s="311"/>
      <c r="H87" s="311"/>
      <c r="I87" s="154" t="str">
        <f>Просчет!$J151</f>
        <v>м²</v>
      </c>
      <c r="J87" s="154" t="str">
        <f>IF(Просчет!$K151=0,"",ROUND(Просчет!$K151,3))</f>
        <v/>
      </c>
      <c r="K87" s="108">
        <f>Просчет!$M151</f>
        <v>5420</v>
      </c>
      <c r="L87" s="109" t="str">
        <f t="shared" si="1"/>
        <v/>
      </c>
    </row>
    <row r="88" spans="2:12" x14ac:dyDescent="0.2">
      <c r="B88" s="91">
        <f>SUBTOTAL(103,$C$21:$C88)</f>
        <v>68</v>
      </c>
      <c r="C88" s="311" t="str">
        <f>Просчет!$C152</f>
        <v>Спецефект перли, графіт, радіусний фасад 19 мм</v>
      </c>
      <c r="D88" s="311"/>
      <c r="E88" s="311"/>
      <c r="F88" s="311"/>
      <c r="G88" s="311"/>
      <c r="H88" s="311"/>
      <c r="I88" s="154" t="str">
        <f>Просчет!$J152</f>
        <v>м²</v>
      </c>
      <c r="J88" s="154" t="str">
        <f>IF(Просчет!$K152=0,"",ROUND(Просчет!$K152,3))</f>
        <v/>
      </c>
      <c r="K88" s="108">
        <f>Просчет!$M152</f>
        <v>5490</v>
      </c>
      <c r="L88" s="109" t="str">
        <f t="shared" si="1"/>
        <v/>
      </c>
    </row>
    <row r="89" spans="2:12" x14ac:dyDescent="0.2">
      <c r="B89" s="91">
        <f>SUBTOTAL(103,$C$21:$C89)</f>
        <v>69</v>
      </c>
      <c r="C89" s="311" t="str">
        <f>Просчет!$C153</f>
        <v xml:space="preserve">Спецефект перли, графіт, другої сторони радіусний фасад </v>
      </c>
      <c r="D89" s="311"/>
      <c r="E89" s="311"/>
      <c r="F89" s="311"/>
      <c r="G89" s="311"/>
      <c r="H89" s="311"/>
      <c r="I89" s="154" t="str">
        <f>Просчет!$J153</f>
        <v>м²</v>
      </c>
      <c r="J89" s="154" t="str">
        <f>IF(Просчет!$K153=0,"",ROUND(Просчет!$K153,3))</f>
        <v/>
      </c>
      <c r="K89" s="108">
        <f>Просчет!$M153</f>
        <v>4920</v>
      </c>
      <c r="L89" s="109" t="str">
        <f t="shared" si="1"/>
        <v/>
      </c>
    </row>
    <row r="90" spans="2:12" x14ac:dyDescent="0.2">
      <c r="B90" s="91">
        <f>SUBTOTAL(103,$C$21:$C90)</f>
        <v>70</v>
      </c>
      <c r="C90" s="311" t="str">
        <f>Просчет!$C154</f>
        <v>Спецефект зоряне небо, радіусний фасад 16 мм</v>
      </c>
      <c r="D90" s="311"/>
      <c r="E90" s="311"/>
      <c r="F90" s="311"/>
      <c r="G90" s="311"/>
      <c r="H90" s="311"/>
      <c r="I90" s="154" t="str">
        <f>Просчет!$J154</f>
        <v>м²</v>
      </c>
      <c r="J90" s="154" t="str">
        <f>IF(Просчет!$K154=0,"",ROUND(Просчет!$K154,3))</f>
        <v/>
      </c>
      <c r="K90" s="108">
        <f>Просчет!$M154</f>
        <v>5630</v>
      </c>
      <c r="L90" s="109" t="str">
        <f t="shared" si="1"/>
        <v/>
      </c>
    </row>
    <row r="91" spans="2:12" x14ac:dyDescent="0.2">
      <c r="B91" s="91">
        <f>SUBTOTAL(103,$C$21:$C91)</f>
        <v>71</v>
      </c>
      <c r="C91" s="311" t="str">
        <f>Просчет!$C155</f>
        <v>Спецефект зоряне небо, радіусний фасад 19 мм</v>
      </c>
      <c r="D91" s="311"/>
      <c r="E91" s="311"/>
      <c r="F91" s="311"/>
      <c r="G91" s="311"/>
      <c r="H91" s="311"/>
      <c r="I91" s="154" t="str">
        <f>Просчет!$J155</f>
        <v>м²</v>
      </c>
      <c r="J91" s="154" t="str">
        <f>IF(Просчет!$K155=0,"",ROUND(Просчет!$K155,3))</f>
        <v/>
      </c>
      <c r="K91" s="108">
        <f>Просчет!$M155</f>
        <v>5700</v>
      </c>
      <c r="L91" s="109" t="str">
        <f t="shared" si="1"/>
        <v/>
      </c>
    </row>
    <row r="92" spans="2:12" x14ac:dyDescent="0.2">
      <c r="B92" s="91">
        <f>SUBTOTAL(103,$C$21:$C92)</f>
        <v>72</v>
      </c>
      <c r="C92" s="311" t="str">
        <f>Просчет!$C156</f>
        <v xml:space="preserve">Спецефект зоряне небо, другої сторони радіусний фасад </v>
      </c>
      <c r="D92" s="311"/>
      <c r="E92" s="311"/>
      <c r="F92" s="311"/>
      <c r="G92" s="311"/>
      <c r="H92" s="311"/>
      <c r="I92" s="154" t="str">
        <f>Просчет!$J156</f>
        <v>м²</v>
      </c>
      <c r="J92" s="154" t="str">
        <f>IF(Просчет!$K156=0,"",ROUND(Просчет!$K156,3))</f>
        <v/>
      </c>
      <c r="K92" s="108">
        <f>Просчет!$M156</f>
        <v>5130</v>
      </c>
      <c r="L92" s="109" t="str">
        <f t="shared" si="1"/>
        <v/>
      </c>
    </row>
    <row r="93" spans="2:12" x14ac:dyDescent="0.2">
      <c r="B93" s="91">
        <f>SUBTOTAL(103,$C$21:$C93)</f>
        <v>73</v>
      </c>
      <c r="C93" s="311" t="str">
        <f>Просчет!$C157</f>
        <v>Хамелеон 2-х кольоровий + глянець з поліруванням радіусний фасад 16 мм</v>
      </c>
      <c r="D93" s="311"/>
      <c r="E93" s="311"/>
      <c r="F93" s="311"/>
      <c r="G93" s="311"/>
      <c r="H93" s="311"/>
      <c r="I93" s="154" t="str">
        <f>Просчет!$J157</f>
        <v>м²</v>
      </c>
      <c r="J93" s="154" t="str">
        <f>IF(Просчет!$K157=0,"",ROUND(Просчет!$K157,3))</f>
        <v/>
      </c>
      <c r="K93" s="108">
        <f>Просчет!$M157</f>
        <v>6470</v>
      </c>
      <c r="L93" s="109" t="str">
        <f t="shared" si="1"/>
        <v/>
      </c>
    </row>
    <row r="94" spans="2:12" x14ac:dyDescent="0.2">
      <c r="B94" s="91">
        <f>SUBTOTAL(103,$C$21:$C94)</f>
        <v>74</v>
      </c>
      <c r="C94" s="311" t="str">
        <f>Просчет!$C158</f>
        <v>Хамелеон 2-х кольоровий + глянець з поліруванням радіусний фасад 19 мм</v>
      </c>
      <c r="D94" s="311"/>
      <c r="E94" s="311"/>
      <c r="F94" s="311"/>
      <c r="G94" s="311"/>
      <c r="H94" s="311"/>
      <c r="I94" s="154" t="str">
        <f>Просчет!$J158</f>
        <v>м²</v>
      </c>
      <c r="J94" s="154" t="str">
        <f>IF(Просчет!$K158=0,"",ROUND(Просчет!$K158,3))</f>
        <v/>
      </c>
      <c r="K94" s="108">
        <f>Просчет!$M158</f>
        <v>6540</v>
      </c>
      <c r="L94" s="109" t="str">
        <f t="shared" si="1"/>
        <v/>
      </c>
    </row>
    <row r="95" spans="2:12" x14ac:dyDescent="0.2">
      <c r="B95" s="91">
        <f>SUBTOTAL(103,$C$21:$C95)</f>
        <v>75</v>
      </c>
      <c r="C95" s="311" t="str">
        <f>Просчет!$C159</f>
        <v>Хамелеон 3-х кольоровий + глянець з поліруванням радіусний фасад 16 мм</v>
      </c>
      <c r="D95" s="311"/>
      <c r="E95" s="311"/>
      <c r="F95" s="311"/>
      <c r="G95" s="311"/>
      <c r="H95" s="311"/>
      <c r="I95" s="154" t="str">
        <f>Просчет!$J159</f>
        <v>м²</v>
      </c>
      <c r="J95" s="154" t="str">
        <f>IF(Просчет!$K159=0,"",ROUND(Просчет!$K159,3))</f>
        <v/>
      </c>
      <c r="K95" s="108">
        <f>Просчет!$M159</f>
        <v>7030</v>
      </c>
      <c r="L95" s="109" t="str">
        <f t="shared" si="1"/>
        <v/>
      </c>
    </row>
    <row r="96" spans="2:12" x14ac:dyDescent="0.2">
      <c r="B96" s="91">
        <f>SUBTOTAL(103,$C$21:$C96)</f>
        <v>76</v>
      </c>
      <c r="C96" s="311" t="str">
        <f>Просчет!$C160</f>
        <v>Хамелеон 3-х кольоровий + глянець з поліруванням радіусний фасад 19 мм</v>
      </c>
      <c r="D96" s="311"/>
      <c r="E96" s="311"/>
      <c r="F96" s="311"/>
      <c r="G96" s="311"/>
      <c r="H96" s="311"/>
      <c r="I96" s="154" t="str">
        <f>Просчет!$J160</f>
        <v>м²</v>
      </c>
      <c r="J96" s="154" t="str">
        <f>IF(Просчет!$K160=0,"",ROUND(Просчет!$K160,3))</f>
        <v/>
      </c>
      <c r="K96" s="108">
        <f>Просчет!$M160</f>
        <v>7100</v>
      </c>
      <c r="L96" s="109" t="str">
        <f t="shared" si="1"/>
        <v/>
      </c>
    </row>
    <row r="97" spans="2:12" x14ac:dyDescent="0.2">
      <c r="B97" s="91">
        <f>SUBTOTAL(103,$C$21:$C97)</f>
        <v>77</v>
      </c>
      <c r="C97" s="311" t="str">
        <f>Просчет!$C161</f>
        <v>Вітрина без чверті, плоский фасад</v>
      </c>
      <c r="D97" s="311"/>
      <c r="E97" s="311"/>
      <c r="F97" s="311"/>
      <c r="G97" s="311"/>
      <c r="H97" s="311"/>
      <c r="I97" s="154" t="str">
        <f>Просчет!$J161</f>
        <v>шт.</v>
      </c>
      <c r="J97" s="154" t="str">
        <f>IF(Просчет!$K161=0,"",ROUND(Просчет!$K161,3))</f>
        <v/>
      </c>
      <c r="K97" s="108">
        <f>Просчет!$M161</f>
        <v>160</v>
      </c>
      <c r="L97" s="109" t="str">
        <f t="shared" si="1"/>
        <v/>
      </c>
    </row>
    <row r="98" spans="2:12" x14ac:dyDescent="0.2">
      <c r="B98" s="91">
        <f>SUBTOTAL(103,$C$21:$C98)</f>
        <v>78</v>
      </c>
      <c r="C98" s="311" t="str">
        <f>Просчет!$C162</f>
        <v>Вітрина з чвертю, плоский фасад</v>
      </c>
      <c r="D98" s="311"/>
      <c r="E98" s="311"/>
      <c r="F98" s="311"/>
      <c r="G98" s="311"/>
      <c r="H98" s="311"/>
      <c r="I98" s="154" t="str">
        <f>Просчет!$J162</f>
        <v>шт.</v>
      </c>
      <c r="J98" s="154" t="str">
        <f>IF(Просчет!$K162=0,"",ROUND(Просчет!$K162,3))</f>
        <v/>
      </c>
      <c r="K98" s="108">
        <f>Просчет!$M162</f>
        <v>215</v>
      </c>
      <c r="L98" s="109" t="str">
        <f t="shared" si="1"/>
        <v/>
      </c>
    </row>
    <row r="99" spans="2:12" x14ac:dyDescent="0.2">
      <c r="B99" s="91">
        <f>SUBTOTAL(103,$C$21:$C99)</f>
        <v>79</v>
      </c>
      <c r="C99" s="311" t="str">
        <f>Просчет!$C163</f>
        <v>Вітрина шпрос без чверті, плоский фасад до 1000 мм</v>
      </c>
      <c r="D99" s="311"/>
      <c r="E99" s="311"/>
      <c r="F99" s="311"/>
      <c r="G99" s="311"/>
      <c r="H99" s="311"/>
      <c r="I99" s="154" t="str">
        <f>Просчет!$J163</f>
        <v>шт.</v>
      </c>
      <c r="J99" s="154" t="str">
        <f>IF(Просчет!$K163=0,"",ROUND(Просчет!$K163,3))</f>
        <v/>
      </c>
      <c r="K99" s="108">
        <f>Просчет!$M163</f>
        <v>450</v>
      </c>
      <c r="L99" s="109" t="str">
        <f t="shared" si="1"/>
        <v/>
      </c>
    </row>
    <row r="100" spans="2:12" x14ac:dyDescent="0.2">
      <c r="B100" s="91">
        <f>SUBTOTAL(103,$C$21:$C100)</f>
        <v>80</v>
      </c>
      <c r="C100" s="311" t="str">
        <f>Просчет!$C164</f>
        <v>Вітрина шпрос з чвертю, плоский фасад до 1000 мм</v>
      </c>
      <c r="D100" s="311"/>
      <c r="E100" s="311"/>
      <c r="F100" s="311"/>
      <c r="G100" s="311"/>
      <c r="H100" s="311"/>
      <c r="I100" s="154" t="str">
        <f>Просчет!$J164</f>
        <v>шт.</v>
      </c>
      <c r="J100" s="154" t="str">
        <f>IF(Просчет!$K164=0,"",ROUND(Просчет!$K164,3))</f>
        <v/>
      </c>
      <c r="K100" s="108">
        <f>Просчет!$M164</f>
        <v>1050</v>
      </c>
      <c r="L100" s="109" t="str">
        <f t="shared" si="1"/>
        <v/>
      </c>
    </row>
    <row r="101" spans="2:12" x14ac:dyDescent="0.2">
      <c r="B101" s="91">
        <f>SUBTOTAL(103,$C$21:$C101)</f>
        <v>81</v>
      </c>
      <c r="C101" s="311" t="str">
        <f>Просчет!$C165</f>
        <v>Вітрина шпрос без чверті, плоский фасад понад 1000 мм</v>
      </c>
      <c r="D101" s="311"/>
      <c r="E101" s="311"/>
      <c r="F101" s="311"/>
      <c r="G101" s="311"/>
      <c r="H101" s="311"/>
      <c r="I101" s="154" t="str">
        <f>Просчет!$J165</f>
        <v>шт.</v>
      </c>
      <c r="J101" s="154" t="str">
        <f>IF(Просчет!$K165=0,"",ROUND(Просчет!$K165,3))</f>
        <v/>
      </c>
      <c r="K101" s="108">
        <f>Просчет!$M165</f>
        <v>500</v>
      </c>
      <c r="L101" s="109" t="str">
        <f t="shared" si="1"/>
        <v/>
      </c>
    </row>
    <row r="102" spans="2:12" x14ac:dyDescent="0.2">
      <c r="B102" s="91">
        <f>SUBTOTAL(103,$C$21:$C102)</f>
        <v>82</v>
      </c>
      <c r="C102" s="311" t="str">
        <f>Просчет!$C166</f>
        <v>Вітрина шпрос з чвертю, плоский фасад понад 1000 мм</v>
      </c>
      <c r="D102" s="311"/>
      <c r="E102" s="311"/>
      <c r="F102" s="311"/>
      <c r="G102" s="311"/>
      <c r="H102" s="311"/>
      <c r="I102" s="154" t="str">
        <f>Просчет!$J166</f>
        <v>шт.</v>
      </c>
      <c r="J102" s="154" t="str">
        <f>IF(Просчет!$K166=0,"",ROUND(Просчет!$K166,3))</f>
        <v/>
      </c>
      <c r="K102" s="108">
        <f>Просчет!$M166</f>
        <v>1100</v>
      </c>
      <c r="L102" s="109" t="str">
        <f t="shared" si="1"/>
        <v/>
      </c>
    </row>
    <row r="103" spans="2:12" x14ac:dyDescent="0.2">
      <c r="B103" s="91">
        <f>SUBTOTAL(103,$C$21:$C103)</f>
        <v>83</v>
      </c>
      <c r="C103" s="311" t="str">
        <f>Просчет!$C167</f>
        <v>Вітрина радіусний фасад,</v>
      </c>
      <c r="D103" s="311"/>
      <c r="E103" s="311"/>
      <c r="F103" s="311"/>
      <c r="G103" s="311"/>
      <c r="H103" s="311"/>
      <c r="I103" s="154" t="str">
        <f>Просчет!$J167</f>
        <v>шт.</v>
      </c>
      <c r="J103" s="154" t="str">
        <f>IF(Просчет!$K167=0,"",ROUND(Просчет!$K167,3))</f>
        <v/>
      </c>
      <c r="K103" s="108">
        <f>Просчет!$M167</f>
        <v>300</v>
      </c>
      <c r="L103" s="109" t="str">
        <f t="shared" si="1"/>
        <v/>
      </c>
    </row>
    <row r="104" spans="2:12" x14ac:dyDescent="0.2">
      <c r="B104" s="91">
        <f>SUBTOTAL(103,$C$21:$C104)</f>
        <v>84</v>
      </c>
      <c r="C104" s="311" t="str">
        <f>Просчет!$C168</f>
        <v>Ручка тип "J" пряма</v>
      </c>
      <c r="D104" s="311"/>
      <c r="E104" s="311"/>
      <c r="F104" s="311"/>
      <c r="G104" s="311"/>
      <c r="H104" s="311"/>
      <c r="I104" s="154" t="str">
        <f>Просчет!$J168</f>
        <v>м.п.</v>
      </c>
      <c r="J104" s="154" t="str">
        <f>IF(Просчет!$K168=0,"",ROUND(Просчет!$K168,3))</f>
        <v/>
      </c>
      <c r="K104" s="108">
        <f>Просчет!$M168</f>
        <v>200</v>
      </c>
      <c r="L104" s="109" t="str">
        <f t="shared" si="1"/>
        <v/>
      </c>
    </row>
    <row r="105" spans="2:12" x14ac:dyDescent="0.2">
      <c r="B105" s="91">
        <f>SUBTOTAL(103,$C$21:$C105)</f>
        <v>85</v>
      </c>
      <c r="C105" s="311" t="str">
        <f>Просчет!$C169</f>
        <v>Ручка тип "J" тупікова</v>
      </c>
      <c r="D105" s="311"/>
      <c r="E105" s="311"/>
      <c r="F105" s="311"/>
      <c r="G105" s="311"/>
      <c r="H105" s="311"/>
      <c r="I105" s="154" t="str">
        <f>Просчет!$J169</f>
        <v>шт.</v>
      </c>
      <c r="J105" s="154" t="str">
        <f>IF(Просчет!$K169=0,"",ROUND(Просчет!$K169,3))</f>
        <v/>
      </c>
      <c r="K105" s="108">
        <f>Просчет!$M169</f>
        <v>200</v>
      </c>
      <c r="L105" s="109" t="str">
        <f t="shared" si="1"/>
        <v/>
      </c>
    </row>
    <row r="106" spans="2:12" x14ac:dyDescent="0.2">
      <c r="B106" s="91">
        <f>SUBTOTAL(103,$C$21:$C106)</f>
        <v>86</v>
      </c>
      <c r="C106" s="311" t="str">
        <f>Просчет!$C170</f>
        <v>Ручка тип "J" в радіусному фасаді</v>
      </c>
      <c r="D106" s="311"/>
      <c r="E106" s="311"/>
      <c r="F106" s="311"/>
      <c r="G106" s="311"/>
      <c r="H106" s="311"/>
      <c r="I106" s="154" t="str">
        <f>Просчет!$J170</f>
        <v>м.п.</v>
      </c>
      <c r="J106" s="154" t="str">
        <f>IF(Просчет!$K170=0,"",ROUND(Просчет!$K170,3))</f>
        <v/>
      </c>
      <c r="K106" s="108">
        <f>Просчет!$M170</f>
        <v>500</v>
      </c>
      <c r="L106" s="109" t="str">
        <f t="shared" si="1"/>
        <v/>
      </c>
    </row>
    <row r="107" spans="2:12" x14ac:dyDescent="0.2">
      <c r="B107" s="91">
        <f>SUBTOTAL(103,$C$21:$C107)</f>
        <v>87</v>
      </c>
      <c r="C107" s="311" t="str">
        <f>Просчет!$C171</f>
        <v>Ручка 45 град</v>
      </c>
      <c r="D107" s="311"/>
      <c r="E107" s="311"/>
      <c r="F107" s="311"/>
      <c r="G107" s="311"/>
      <c r="H107" s="311"/>
      <c r="I107" s="154" t="str">
        <f>Просчет!$J171</f>
        <v>м.п.</v>
      </c>
      <c r="J107" s="154" t="str">
        <f>IF(Просчет!$K171=0,"",ROUND(Просчет!$K171,3))</f>
        <v/>
      </c>
      <c r="K107" s="108">
        <f>Просчет!$M171</f>
        <v>190</v>
      </c>
      <c r="L107" s="109" t="str">
        <f t="shared" si="1"/>
        <v/>
      </c>
    </row>
    <row r="108" spans="2:12" x14ac:dyDescent="0.2">
      <c r="B108" s="91">
        <f>SUBTOTAL(103,$C$21:$C108)</f>
        <v>88</v>
      </c>
      <c r="C108" s="311" t="str">
        <f>Просчет!$C172</f>
        <v>Отвір під петлю (35 мм)</v>
      </c>
      <c r="D108" s="311"/>
      <c r="E108" s="311"/>
      <c r="F108" s="311"/>
      <c r="G108" s="311"/>
      <c r="H108" s="311"/>
      <c r="I108" s="154" t="str">
        <f>Просчет!$J172</f>
        <v>шт.</v>
      </c>
      <c r="J108" s="154" t="str">
        <f>IF(Просчет!$K172=0,"",ROUND(Просчет!$K172,3))</f>
        <v/>
      </c>
      <c r="K108" s="108">
        <f>Просчет!$M172</f>
        <v>25</v>
      </c>
      <c r="L108" s="109" t="str">
        <f t="shared" si="1"/>
        <v/>
      </c>
    </row>
    <row r="109" spans="2:12" x14ac:dyDescent="0.2">
      <c r="B109" s="91">
        <f>SUBTOTAL(103,$C$21:$C109)</f>
        <v>89</v>
      </c>
      <c r="C109" s="311" t="str">
        <f>Просчет!$C173</f>
        <v>Фарбування ручки J в інший колір</v>
      </c>
      <c r="D109" s="311"/>
      <c r="E109" s="311"/>
      <c r="F109" s="311"/>
      <c r="G109" s="311"/>
      <c r="H109" s="311"/>
      <c r="I109" s="154" t="str">
        <f>Просчет!$J173</f>
        <v>шт.</v>
      </c>
      <c r="J109" s="154" t="str">
        <f>IF(Просчет!$K173=0,"",ROUND(Просчет!$K173,3))</f>
        <v/>
      </c>
      <c r="K109" s="108">
        <f>Просчет!$M173</f>
        <v>315</v>
      </c>
      <c r="L109" s="109" t="str">
        <f t="shared" si="1"/>
        <v/>
      </c>
    </row>
    <row r="110" spans="2:12" x14ac:dyDescent="0.2">
      <c r="B110" s="91">
        <f>SUBTOTAL(103,$C$21:$C110)</f>
        <v>90</v>
      </c>
      <c r="C110" s="311">
        <f>Просчет!$C174</f>
        <v>0</v>
      </c>
      <c r="D110" s="311"/>
      <c r="E110" s="311"/>
      <c r="F110" s="311"/>
      <c r="G110" s="311"/>
      <c r="H110" s="311"/>
      <c r="I110" s="154">
        <f>Просчет!$J174</f>
        <v>0</v>
      </c>
      <c r="J110" s="154" t="str">
        <f>IF(Просчет!$K174=0,"",ROUND(Просчет!$K174,3))</f>
        <v/>
      </c>
      <c r="K110" s="108">
        <f>Просчет!$M174</f>
        <v>0</v>
      </c>
      <c r="L110" s="109" t="str">
        <f t="shared" si="1"/>
        <v/>
      </c>
    </row>
    <row r="111" spans="2:12" x14ac:dyDescent="0.2">
      <c r="B111" s="91">
        <f>SUBTOTAL(103,$C$21:$C111)</f>
        <v>91</v>
      </c>
      <c r="C111" s="311">
        <f>Просчет!$C175</f>
        <v>0</v>
      </c>
      <c r="D111" s="311"/>
      <c r="E111" s="311"/>
      <c r="F111" s="311"/>
      <c r="G111" s="311"/>
      <c r="H111" s="311"/>
      <c r="I111" s="154">
        <f>Просчет!$J175</f>
        <v>0</v>
      </c>
      <c r="J111" s="154" t="str">
        <f>IF(Просчет!$K175=0,"",ROUND(Просчет!$K175,3))</f>
        <v/>
      </c>
      <c r="K111" s="108">
        <f>Просчет!$M175</f>
        <v>0</v>
      </c>
      <c r="L111" s="109" t="str">
        <f t="shared" si="1"/>
        <v/>
      </c>
    </row>
    <row r="112" spans="2:12" x14ac:dyDescent="0.2">
      <c r="B112" s="91">
        <f>SUBTOTAL(103,$C$21:$C112)</f>
        <v>92</v>
      </c>
      <c r="C112" s="311">
        <f>Просчет!$C176</f>
        <v>0</v>
      </c>
      <c r="D112" s="311"/>
      <c r="E112" s="311"/>
      <c r="F112" s="311"/>
      <c r="G112" s="311"/>
      <c r="H112" s="311"/>
      <c r="I112" s="154">
        <f>Просчет!$J176</f>
        <v>0</v>
      </c>
      <c r="J112" s="154" t="str">
        <f>IF(Просчет!$K176=0,"",ROUND(Просчет!$K176,3))</f>
        <v/>
      </c>
      <c r="K112" s="108">
        <f>Просчет!$M176</f>
        <v>0</v>
      </c>
      <c r="L112" s="109" t="str">
        <f t="shared" si="1"/>
        <v/>
      </c>
    </row>
    <row r="113" spans="2:12" x14ac:dyDescent="0.2">
      <c r="B113" s="91">
        <f>SUBTOTAL(103,$C$21:$C113)</f>
        <v>93</v>
      </c>
      <c r="C113" s="311">
        <f>Просчет!$C177</f>
        <v>0</v>
      </c>
      <c r="D113" s="311"/>
      <c r="E113" s="311"/>
      <c r="F113" s="311"/>
      <c r="G113" s="311"/>
      <c r="H113" s="311"/>
      <c r="I113" s="154">
        <f>Просчет!$J177</f>
        <v>0</v>
      </c>
      <c r="J113" s="154" t="str">
        <f>IF(Просчет!$K177=0,"",ROUND(Просчет!$K177,3))</f>
        <v/>
      </c>
      <c r="K113" s="108">
        <f>Просчет!$M177</f>
        <v>0</v>
      </c>
      <c r="L113" s="109" t="str">
        <f t="shared" si="1"/>
        <v/>
      </c>
    </row>
    <row r="114" spans="2:12" x14ac:dyDescent="0.2">
      <c r="B114" s="153"/>
      <c r="C114" s="153"/>
      <c r="D114" s="153"/>
      <c r="E114" s="153"/>
      <c r="F114" s="153"/>
      <c r="G114" s="153"/>
      <c r="H114" s="153"/>
      <c r="I114" s="153"/>
      <c r="J114" s="153"/>
      <c r="K114" s="153"/>
      <c r="L114" s="153"/>
    </row>
    <row r="115" spans="2:12" x14ac:dyDescent="0.2">
      <c r="K115" s="114" t="s">
        <v>235</v>
      </c>
      <c r="L115" s="231">
        <f>SUM(L21:L113)</f>
        <v>7968</v>
      </c>
    </row>
    <row r="116" spans="2:12" x14ac:dyDescent="0.2">
      <c r="K116" s="114" t="s">
        <v>234</v>
      </c>
      <c r="L116" s="115"/>
    </row>
    <row r="117" spans="2:12" x14ac:dyDescent="0.2">
      <c r="K117" s="81" t="s">
        <v>236</v>
      </c>
      <c r="L117" s="231">
        <f>L115-(L115*L116/100)</f>
        <v>7968</v>
      </c>
    </row>
    <row r="118" spans="2:12" x14ac:dyDescent="0.2">
      <c r="K118" s="114"/>
      <c r="L118" s="114"/>
    </row>
    <row r="119" spans="2:12" x14ac:dyDescent="0.2">
      <c r="K119" s="114"/>
      <c r="L119" s="114"/>
    </row>
    <row r="120" spans="2:12" x14ac:dyDescent="0.2">
      <c r="K120" s="81" t="s">
        <v>237</v>
      </c>
      <c r="L120" s="115"/>
    </row>
    <row r="121" spans="2:12" x14ac:dyDescent="0.2">
      <c r="K121" s="114"/>
      <c r="L121" s="115"/>
    </row>
    <row r="122" spans="2:12" x14ac:dyDescent="0.2">
      <c r="K122" s="81" t="s">
        <v>238</v>
      </c>
      <c r="L122" s="232">
        <f>L117-L120</f>
        <v>7968</v>
      </c>
    </row>
  </sheetData>
  <sheetProtection algorithmName="SHA-512" hashValue="UzCIIukzZQ4E0Xb9dvjAbQcFuZPknYOY4MI9r9GNa6a2cCwxlCoPUPOEui6d9larxigEg24nomsu5N4frHkY4Q==" saltValue="epWnZZInNgJ0Gu1rVcZmjg==" spinCount="100000" sheet="1" formatCells="0" formatColumns="0" formatRows="0" autoFilter="0"/>
  <autoFilter ref="L20:L113" xr:uid="{00000000-0009-0000-0000-000002000000}"/>
  <mergeCells count="97">
    <mergeCell ref="C106:H106"/>
    <mergeCell ref="C112:H112"/>
    <mergeCell ref="C103:H103"/>
    <mergeCell ref="C104:H104"/>
    <mergeCell ref="C105:H105"/>
    <mergeCell ref="C107:H107"/>
    <mergeCell ref="C108:H108"/>
    <mergeCell ref="C109:H109"/>
    <mergeCell ref="C110:H110"/>
    <mergeCell ref="C111:H111"/>
    <mergeCell ref="C98:H98"/>
    <mergeCell ref="C99:H99"/>
    <mergeCell ref="C100:H100"/>
    <mergeCell ref="C101:H101"/>
    <mergeCell ref="C102:H102"/>
    <mergeCell ref="C93:H93"/>
    <mergeCell ref="C94:H94"/>
    <mergeCell ref="C95:H95"/>
    <mergeCell ref="C96:H96"/>
    <mergeCell ref="C97:H97"/>
    <mergeCell ref="C88:H88"/>
    <mergeCell ref="C89:H89"/>
    <mergeCell ref="C90:H90"/>
    <mergeCell ref="C91:H91"/>
    <mergeCell ref="C92:H92"/>
    <mergeCell ref="C83:H83"/>
    <mergeCell ref="C84:H84"/>
    <mergeCell ref="C85:H85"/>
    <mergeCell ref="C86:H86"/>
    <mergeCell ref="C87:H87"/>
    <mergeCell ref="C78:H78"/>
    <mergeCell ref="C79:H79"/>
    <mergeCell ref="C80:H80"/>
    <mergeCell ref="C81:H81"/>
    <mergeCell ref="C82:H82"/>
    <mergeCell ref="C113:H113"/>
    <mergeCell ref="C66:H66"/>
    <mergeCell ref="C67:H67"/>
    <mergeCell ref="C62:H62"/>
    <mergeCell ref="C63:H63"/>
    <mergeCell ref="C64:H64"/>
    <mergeCell ref="C69:H69"/>
    <mergeCell ref="C68:H68"/>
    <mergeCell ref="C70:H70"/>
    <mergeCell ref="C71:H71"/>
    <mergeCell ref="C72:H72"/>
    <mergeCell ref="C73:H73"/>
    <mergeCell ref="C74:H74"/>
    <mergeCell ref="C75:H75"/>
    <mergeCell ref="C76:H76"/>
    <mergeCell ref="C77:H77"/>
    <mergeCell ref="C28:H28"/>
    <mergeCell ref="C58:H58"/>
    <mergeCell ref="C59:H59"/>
    <mergeCell ref="C60:H60"/>
    <mergeCell ref="C49:H49"/>
    <mergeCell ref="C50:H50"/>
    <mergeCell ref="C51:H51"/>
    <mergeCell ref="C52:H52"/>
    <mergeCell ref="C30:H30"/>
    <mergeCell ref="C31:H31"/>
    <mergeCell ref="C32:H32"/>
    <mergeCell ref="C33:H33"/>
    <mergeCell ref="C34:H34"/>
    <mergeCell ref="C35:H35"/>
    <mergeCell ref="C45:H45"/>
    <mergeCell ref="C46:H46"/>
    <mergeCell ref="C61:H61"/>
    <mergeCell ref="C65:H65"/>
    <mergeCell ref="C53:H53"/>
    <mergeCell ref="C54:H54"/>
    <mergeCell ref="C55:H55"/>
    <mergeCell ref="C56:H56"/>
    <mergeCell ref="C57:H57"/>
    <mergeCell ref="B9:L9"/>
    <mergeCell ref="C41:H41"/>
    <mergeCell ref="C42:H42"/>
    <mergeCell ref="C43:H43"/>
    <mergeCell ref="C44:H44"/>
    <mergeCell ref="C29:H29"/>
    <mergeCell ref="B12:C12"/>
    <mergeCell ref="D12:E12"/>
    <mergeCell ref="C20:H20"/>
    <mergeCell ref="C21:H21"/>
    <mergeCell ref="C22:H22"/>
    <mergeCell ref="C23:H23"/>
    <mergeCell ref="C24:H24"/>
    <mergeCell ref="C25:H25"/>
    <mergeCell ref="C26:H26"/>
    <mergeCell ref="C27:H27"/>
    <mergeCell ref="C47:H47"/>
    <mergeCell ref="C48:H48"/>
    <mergeCell ref="C36:H36"/>
    <mergeCell ref="C37:H37"/>
    <mergeCell ref="C38:H38"/>
    <mergeCell ref="C39:H39"/>
    <mergeCell ref="C40:H40"/>
  </mergeCells>
  <hyperlinks>
    <hyperlink ref="L6" r:id="rId1" xr:uid="{00000000-0004-0000-0200-000000000000}"/>
  </hyperlinks>
  <pageMargins left="0.7" right="0.7" top="0.75" bottom="0.75" header="0.3" footer="0.3"/>
  <pageSetup paperSize="9" orientation="landscape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5:H24"/>
  <sheetViews>
    <sheetView workbookViewId="0">
      <selection activeCell="B5" sqref="B5:E24"/>
    </sheetView>
  </sheetViews>
  <sheetFormatPr defaultRowHeight="12.75" x14ac:dyDescent="0.2"/>
  <cols>
    <col min="2" max="2" width="4.28515625" customWidth="1"/>
    <col min="3" max="3" width="27" customWidth="1"/>
    <col min="4" max="5" width="11.28515625" customWidth="1"/>
  </cols>
  <sheetData>
    <row r="5" spans="2:8" ht="15" x14ac:dyDescent="0.25">
      <c r="B5" s="315" t="s">
        <v>275</v>
      </c>
      <c r="C5" s="315"/>
      <c r="D5" s="312">
        <f>Бланк!$D$10</f>
        <v>0</v>
      </c>
      <c r="E5" s="312"/>
    </row>
    <row r="6" spans="2:8" ht="15" x14ac:dyDescent="0.25">
      <c r="B6" s="94"/>
      <c r="C6" s="94"/>
      <c r="D6" s="95"/>
      <c r="E6" s="95"/>
    </row>
    <row r="7" spans="2:8" ht="15" x14ac:dyDescent="0.25">
      <c r="B7" s="94"/>
      <c r="C7" s="88" t="s">
        <v>239</v>
      </c>
      <c r="D7" s="89">
        <f>Бланк!$AC$10</f>
        <v>0</v>
      </c>
      <c r="E7" s="95"/>
    </row>
    <row r="8" spans="2:8" ht="15" x14ac:dyDescent="0.25">
      <c r="B8" s="94"/>
      <c r="C8" s="88" t="s">
        <v>240</v>
      </c>
      <c r="D8">
        <f>Бланк!$AC$11</f>
        <v>0</v>
      </c>
      <c r="E8" s="95"/>
    </row>
    <row r="9" spans="2:8" ht="15" x14ac:dyDescent="0.25">
      <c r="B9" s="94"/>
      <c r="C9" s="94"/>
      <c r="D9" s="95"/>
      <c r="E9" s="95"/>
    </row>
    <row r="10" spans="2:8" ht="15" x14ac:dyDescent="0.25">
      <c r="B10" s="94"/>
      <c r="C10" s="94"/>
      <c r="D10" s="95"/>
      <c r="E10" s="95"/>
    </row>
    <row r="12" spans="2:8" ht="28.5" customHeight="1" x14ac:dyDescent="0.2">
      <c r="B12" s="73" t="s">
        <v>3</v>
      </c>
      <c r="C12" s="97" t="s">
        <v>231</v>
      </c>
      <c r="D12" s="91" t="s">
        <v>106</v>
      </c>
      <c r="E12" s="91" t="s">
        <v>226</v>
      </c>
      <c r="F12" s="22"/>
      <c r="G12" s="22"/>
      <c r="H12" s="22"/>
    </row>
    <row r="13" spans="2:8" x14ac:dyDescent="0.2">
      <c r="B13" s="90">
        <v>1</v>
      </c>
      <c r="C13" s="90" t="s">
        <v>268</v>
      </c>
      <c r="D13" s="90" t="s">
        <v>274</v>
      </c>
      <c r="E13" s="98">
        <f>SUMIF(Бланк!$F$22:$F$65,4,Бланк!$AI$21:$AI$65)</f>
        <v>0</v>
      </c>
    </row>
    <row r="14" spans="2:8" x14ac:dyDescent="0.2">
      <c r="B14" s="90">
        <v>2</v>
      </c>
      <c r="C14" s="90" t="s">
        <v>269</v>
      </c>
      <c r="D14" s="90" t="s">
        <v>274</v>
      </c>
      <c r="E14" s="98">
        <f>SUMIF(Бланк!$F$22:$F$65,6,Бланк!$AI$21:$AI$65)</f>
        <v>0</v>
      </c>
    </row>
    <row r="15" spans="2:8" x14ac:dyDescent="0.2">
      <c r="B15" s="90">
        <v>3</v>
      </c>
      <c r="C15" s="90" t="s">
        <v>270</v>
      </c>
      <c r="D15" s="90" t="s">
        <v>274</v>
      </c>
      <c r="E15" s="98">
        <f>SUMIF(Бланк!$F$22:$F$65,8,Бланк!$AI$21:$AI$65)</f>
        <v>0</v>
      </c>
    </row>
    <row r="16" spans="2:8" x14ac:dyDescent="0.2">
      <c r="B16" s="90">
        <v>4</v>
      </c>
      <c r="C16" s="90" t="s">
        <v>271</v>
      </c>
      <c r="D16" s="90" t="s">
        <v>274</v>
      </c>
      <c r="E16" s="98">
        <f>SUMIF(Бланк!$F$22:$F$65,10,Бланк!$AI$21:$AI$65)</f>
        <v>0</v>
      </c>
    </row>
    <row r="17" spans="2:5" x14ac:dyDescent="0.2">
      <c r="B17" s="90">
        <v>5</v>
      </c>
      <c r="C17" s="90" t="s">
        <v>272</v>
      </c>
      <c r="D17" s="90" t="s">
        <v>274</v>
      </c>
      <c r="E17" s="98">
        <f>SUMIF(Бланк!$F$22:$F$65,16,Бланк!$AI$21:$AI$65)</f>
        <v>0</v>
      </c>
    </row>
    <row r="18" spans="2:5" x14ac:dyDescent="0.2">
      <c r="B18" s="90">
        <v>6</v>
      </c>
      <c r="C18" s="90" t="s">
        <v>273</v>
      </c>
      <c r="D18" s="90" t="s">
        <v>274</v>
      </c>
      <c r="E18" s="98">
        <f>SUMIF(Бланк!$F$22:$F$65,19,Бланк!$AI$21:$AI$65)</f>
        <v>0</v>
      </c>
    </row>
    <row r="19" spans="2:5" x14ac:dyDescent="0.2">
      <c r="B19" s="90"/>
      <c r="C19" s="90"/>
      <c r="D19" s="90"/>
      <c r="E19" s="90"/>
    </row>
    <row r="20" spans="2:5" x14ac:dyDescent="0.2">
      <c r="B20" s="90"/>
      <c r="C20" s="90"/>
      <c r="D20" s="90"/>
      <c r="E20" s="90"/>
    </row>
    <row r="21" spans="2:5" x14ac:dyDescent="0.2">
      <c r="B21" s="90"/>
      <c r="C21" s="90"/>
      <c r="D21" s="90"/>
      <c r="E21" s="90"/>
    </row>
    <row r="22" spans="2:5" x14ac:dyDescent="0.2">
      <c r="B22" s="90"/>
      <c r="C22" s="90"/>
      <c r="D22" s="90"/>
      <c r="E22" s="90"/>
    </row>
    <row r="23" spans="2:5" x14ac:dyDescent="0.2">
      <c r="B23" s="90"/>
      <c r="C23" s="90"/>
      <c r="D23" s="90"/>
      <c r="E23" s="90"/>
    </row>
    <row r="24" spans="2:5" x14ac:dyDescent="0.2">
      <c r="E24" s="99">
        <f>SUM(E13:E23)</f>
        <v>0</v>
      </c>
    </row>
  </sheetData>
  <mergeCells count="2">
    <mergeCell ref="B5:C5"/>
    <mergeCell ref="D5:E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5:F80"/>
  <sheetViews>
    <sheetView workbookViewId="0">
      <selection activeCell="H23" sqref="H23"/>
    </sheetView>
  </sheetViews>
  <sheetFormatPr defaultRowHeight="12.75" x14ac:dyDescent="0.2"/>
  <cols>
    <col min="2" max="2" width="3.5703125" customWidth="1"/>
    <col min="3" max="3" width="21.85546875" customWidth="1"/>
    <col min="4" max="4" width="12.7109375" customWidth="1"/>
    <col min="5" max="5" width="10.28515625" customWidth="1"/>
    <col min="6" max="6" width="5.85546875" bestFit="1" customWidth="1"/>
  </cols>
  <sheetData>
    <row r="5" spans="2:6" ht="15" x14ac:dyDescent="0.25">
      <c r="B5" s="315" t="s">
        <v>276</v>
      </c>
      <c r="C5" s="315"/>
      <c r="D5" s="94"/>
      <c r="E5" s="312">
        <f>Бланк!$D$10</f>
        <v>0</v>
      </c>
      <c r="F5" s="312"/>
    </row>
    <row r="6" spans="2:6" ht="15" x14ac:dyDescent="0.25">
      <c r="B6" s="94"/>
      <c r="C6" s="94"/>
      <c r="D6" s="94"/>
      <c r="E6" s="95"/>
      <c r="F6" s="95"/>
    </row>
    <row r="7" spans="2:6" ht="15" x14ac:dyDescent="0.25">
      <c r="B7" s="94"/>
      <c r="C7" s="88" t="s">
        <v>239</v>
      </c>
      <c r="D7" s="88"/>
      <c r="E7" s="89">
        <f>Бланк!$AC$10</f>
        <v>0</v>
      </c>
      <c r="F7" s="95"/>
    </row>
    <row r="8" spans="2:6" ht="15" x14ac:dyDescent="0.25">
      <c r="B8" s="94"/>
      <c r="C8" s="88" t="s">
        <v>240</v>
      </c>
      <c r="D8" s="88"/>
      <c r="E8">
        <f>Бланк!$AC$11</f>
        <v>0</v>
      </c>
      <c r="F8" s="95"/>
    </row>
    <row r="9" spans="2:6" ht="15" x14ac:dyDescent="0.25">
      <c r="B9" s="94"/>
      <c r="C9" s="94"/>
      <c r="D9" s="94"/>
      <c r="E9" s="95"/>
      <c r="F9" s="95"/>
    </row>
    <row r="10" spans="2:6" ht="30" x14ac:dyDescent="0.25">
      <c r="B10" s="94"/>
      <c r="C10" s="101" t="s">
        <v>277</v>
      </c>
      <c r="D10" s="101">
        <v>0.3</v>
      </c>
      <c r="E10" s="95"/>
      <c r="F10" s="95"/>
    </row>
    <row r="12" spans="2:6" ht="25.5" x14ac:dyDescent="0.2">
      <c r="B12" s="73" t="s">
        <v>3</v>
      </c>
      <c r="C12" s="100" t="s">
        <v>85</v>
      </c>
      <c r="D12" s="91" t="s">
        <v>106</v>
      </c>
      <c r="E12" s="91" t="s">
        <v>226</v>
      </c>
    </row>
    <row r="13" spans="2:6" ht="14.25" x14ac:dyDescent="0.2">
      <c r="B13" s="90">
        <v>1</v>
      </c>
      <c r="C13" s="90" t="str">
        <f t="array" ref="C13">IFERROR(INDEX(Цвет, MATCH(0,COUNTIF($C$12:C12,Цвет),0)),"")</f>
        <v/>
      </c>
      <c r="D13" s="90" t="s">
        <v>278</v>
      </c>
      <c r="E13" s="104">
        <f t="shared" ref="E13:E21" si="0">SUMIF(Цвет,C13,Объем)</f>
        <v>0.72</v>
      </c>
    </row>
    <row r="14" spans="2:6" ht="14.25" x14ac:dyDescent="0.2">
      <c r="B14" s="90">
        <v>2</v>
      </c>
      <c r="C14" s="90" t="str">
        <f t="array" ref="C14">IFERROR(INDEX(Цвет, MATCH(0,COUNTIF($C$12:C13,Цвет),0)),"")</f>
        <v/>
      </c>
      <c r="D14" s="90" t="s">
        <v>278</v>
      </c>
      <c r="E14" s="104">
        <f t="shared" si="0"/>
        <v>0.72</v>
      </c>
    </row>
    <row r="15" spans="2:6" ht="14.25" x14ac:dyDescent="0.2">
      <c r="B15" s="90">
        <v>3</v>
      </c>
      <c r="C15" s="90" t="str">
        <f t="array" ref="C15">IFERROR(INDEX(Цвет, MATCH(0,COUNTIF($C$12:C14,Цвет),0)),"")</f>
        <v/>
      </c>
      <c r="D15" s="90" t="s">
        <v>278</v>
      </c>
      <c r="E15" s="104">
        <f t="shared" si="0"/>
        <v>0.72</v>
      </c>
    </row>
    <row r="16" spans="2:6" ht="14.25" x14ac:dyDescent="0.2">
      <c r="B16" s="90">
        <v>4</v>
      </c>
      <c r="C16" s="90" t="str">
        <f t="array" ref="C16">IFERROR(INDEX(Цвет, MATCH(0,COUNTIF($C$12:C15,Цвет),0)),"")</f>
        <v/>
      </c>
      <c r="D16" s="90" t="s">
        <v>278</v>
      </c>
      <c r="E16" s="104">
        <f t="shared" si="0"/>
        <v>0.72</v>
      </c>
    </row>
    <row r="17" spans="2:5" ht="14.25" x14ac:dyDescent="0.2">
      <c r="B17" s="90">
        <v>5</v>
      </c>
      <c r="C17" s="90" t="str">
        <f t="array" ref="C17">IFERROR(INDEX(Цвет, MATCH(0,COUNTIF($C$12:C16,Цвет),0)),"")</f>
        <v/>
      </c>
      <c r="D17" s="90" t="s">
        <v>278</v>
      </c>
      <c r="E17" s="104">
        <f t="shared" si="0"/>
        <v>0.72</v>
      </c>
    </row>
    <row r="18" spans="2:5" ht="14.25" x14ac:dyDescent="0.2">
      <c r="B18" s="90">
        <v>6</v>
      </c>
      <c r="C18" s="90" t="str">
        <f t="array" ref="C18">IFERROR(INDEX(Цвет, MATCH(0,COUNTIF($C$12:C17,Цвет),0)),"")</f>
        <v/>
      </c>
      <c r="D18" s="90" t="s">
        <v>278</v>
      </c>
      <c r="E18" s="104">
        <f t="shared" si="0"/>
        <v>0.72</v>
      </c>
    </row>
    <row r="19" spans="2:5" ht="14.25" x14ac:dyDescent="0.2">
      <c r="B19" s="90">
        <v>7</v>
      </c>
      <c r="C19" s="90" t="str">
        <f t="array" ref="C19">IFERROR(INDEX(Цвет, MATCH(0,COUNTIF($C$12:C18,Цвет),0)),"")</f>
        <v/>
      </c>
      <c r="D19" s="90" t="s">
        <v>278</v>
      </c>
      <c r="E19" s="104">
        <f t="shared" si="0"/>
        <v>0.72</v>
      </c>
    </row>
    <row r="20" spans="2:5" ht="14.25" x14ac:dyDescent="0.2">
      <c r="B20" s="90">
        <v>8</v>
      </c>
      <c r="C20" s="90" t="str">
        <f t="array" ref="C20">IFERROR(INDEX(Цвет, MATCH(0,COUNTIF($C$12:C19,Цвет),0)),"")</f>
        <v/>
      </c>
      <c r="D20" s="90" t="s">
        <v>278</v>
      </c>
      <c r="E20" s="104">
        <f t="shared" si="0"/>
        <v>0.72</v>
      </c>
    </row>
    <row r="21" spans="2:5" ht="15" thickBot="1" x14ac:dyDescent="0.25">
      <c r="B21" s="90">
        <v>9</v>
      </c>
      <c r="C21" s="90" t="str">
        <f t="array" ref="C21">IFERROR(INDEX(Цвет, MATCH(0,COUNTIF($C$12:C20,Цвет),0)),"")</f>
        <v/>
      </c>
      <c r="D21" s="102" t="s">
        <v>278</v>
      </c>
      <c r="E21" s="104">
        <f t="shared" si="0"/>
        <v>0.72</v>
      </c>
    </row>
    <row r="22" spans="2:5" ht="15" thickBot="1" x14ac:dyDescent="0.25">
      <c r="D22" s="103" t="s">
        <v>279</v>
      </c>
      <c r="E22" s="105">
        <f>SUM(E13:E21)</f>
        <v>6.4799999999999986</v>
      </c>
    </row>
    <row r="34" spans="2:6" ht="25.5" hidden="1" x14ac:dyDescent="0.2">
      <c r="B34" s="73" t="s">
        <v>3</v>
      </c>
      <c r="C34" s="100" t="s">
        <v>85</v>
      </c>
      <c r="D34" s="96" t="s">
        <v>86</v>
      </c>
      <c r="E34" s="91" t="s">
        <v>106</v>
      </c>
      <c r="F34" s="91" t="s">
        <v>226</v>
      </c>
    </row>
    <row r="35" spans="2:6" hidden="1" x14ac:dyDescent="0.2">
      <c r="B35" s="90">
        <v>1</v>
      </c>
      <c r="C35" s="90" t="str">
        <f>IF(Бланк!$R21="","",IF(Бланк!$R21="RAL",CONCATENATE("RAL",Бланк!$S21),IF(Бланк!$R21="NCS",CONCATENATE("NCS",Бланк!$S21),IF(Бланк!$R21="Mobihel",CONCATENATE("Mobihel",Бланк!$S21),IF(Бланк!$R21="Unicolor",CONCATENATE("Unicolor",Бланк!$S21),IF(Бланк!$R21="Autocolor",CONCATENATE("autocolor",Бланк!$S21),IF(Бланк!$R21="Білий базовий","RAL9003","")))))))</f>
        <v/>
      </c>
      <c r="D35" s="90" t="str">
        <f>IF(Бланк!$T21="","",Бланк!$T21)</f>
        <v/>
      </c>
      <c r="E35" s="90" t="s">
        <v>278</v>
      </c>
      <c r="F35" s="98">
        <f>IF(OR(Бланк!$AI21="",Бланк!$AI21=0),"",Бланк!$AI21*$D$10)</f>
        <v>0.72</v>
      </c>
    </row>
    <row r="36" spans="2:6" hidden="1" x14ac:dyDescent="0.2">
      <c r="B36" s="90">
        <v>2</v>
      </c>
      <c r="C36" s="90" t="str">
        <f>IF(Бланк!$R22="","",IF(Бланк!$R22="RAL",CONCATENATE("RAL",Бланк!$S22),IF(Бланк!$R22="NCS",CONCATENATE("NCS",Бланк!$S22),IF(Бланк!$R22="Mobihel",CONCATENATE("Mobihel",Бланк!$S22),IF(Бланк!$R22="Unicolor",CONCATENATE("Unicolor",Бланк!$S22),IF(Бланк!$R22="Autocolor",CONCATENATE("autocolor",Бланк!$S22),IF(Бланк!$R22="Білий базовий","RAL9003","")))))))</f>
        <v/>
      </c>
      <c r="D36" s="90" t="str">
        <f>IF(Бланк!$T22="","",Бланк!$T22)</f>
        <v/>
      </c>
      <c r="E36" s="90" t="s">
        <v>278</v>
      </c>
      <c r="F36" s="98" t="str">
        <f>IF(OR(Бланк!$AI22="",Бланк!$AI22=0),"",Бланк!$AI22*$D$10)</f>
        <v/>
      </c>
    </row>
    <row r="37" spans="2:6" hidden="1" x14ac:dyDescent="0.2">
      <c r="B37" s="90">
        <v>3</v>
      </c>
      <c r="C37" s="90" t="str">
        <f>IF(Бланк!$R23="","",IF(Бланк!$R23="RAL",CONCATENATE("RAL",Бланк!$S23),IF(Бланк!$R23="NCS",CONCATENATE("NCS",Бланк!$S23),IF(Бланк!$R23="Mobihel",CONCATENATE("Mobihel",Бланк!$S23),IF(Бланк!$R23="Unicolor",CONCATENATE("Unicolor",Бланк!$S23),IF(Бланк!$R23="Autocolor",CONCATENATE("autocolor",Бланк!$S23),IF(Бланк!$R23="Білий базовий","RAL9003","")))))))</f>
        <v/>
      </c>
      <c r="D37" s="90" t="str">
        <f>IF(Бланк!$T23="","",Бланк!$T23)</f>
        <v/>
      </c>
      <c r="E37" s="90" t="s">
        <v>278</v>
      </c>
      <c r="F37" s="98" t="str">
        <f>IF(OR(Бланк!$AI23="",Бланк!$AI23=0),"",Бланк!$AI23*$D$10)</f>
        <v/>
      </c>
    </row>
    <row r="38" spans="2:6" hidden="1" x14ac:dyDescent="0.2">
      <c r="B38" s="90">
        <v>4</v>
      </c>
      <c r="C38" s="90" t="str">
        <f>IF(Бланк!$R24="","",IF(Бланк!$R24="RAL",CONCATENATE("RAL",Бланк!$S24),IF(Бланк!$R24="NCS",CONCATENATE("NCS",Бланк!$S24),IF(Бланк!$R24="Mobihel",CONCATENATE("Mobihel",Бланк!$S24),IF(Бланк!$R24="Unicolor",CONCATENATE("Unicolor",Бланк!$S24),IF(Бланк!$R24="Autocolor",CONCATENATE("autocolor",Бланк!$S24),IF(Бланк!$R24="Білий базовий","RAL9003","")))))))</f>
        <v/>
      </c>
      <c r="D38" s="90" t="str">
        <f>IF(Бланк!$T24="","",Бланк!$T24)</f>
        <v/>
      </c>
      <c r="E38" s="90" t="s">
        <v>278</v>
      </c>
      <c r="F38" s="98" t="str">
        <f>IF(OR(Бланк!$AI24="",Бланк!$AI24=0),"",Бланк!$AI24*$D$10)</f>
        <v/>
      </c>
    </row>
    <row r="39" spans="2:6" hidden="1" x14ac:dyDescent="0.2">
      <c r="B39" s="90">
        <v>5</v>
      </c>
      <c r="C39" s="90" t="str">
        <f>IF(Бланк!$R25="","",IF(Бланк!$R25="RAL",CONCATENATE("RAL",Бланк!$S25),IF(Бланк!$R25="NCS",CONCATENATE("NCS",Бланк!$S25),IF(Бланк!$R25="Mobihel",CONCATENATE("Mobihel",Бланк!$S25),IF(Бланк!$R25="Unicolor",CONCATENATE("Unicolor",Бланк!$S25),IF(Бланк!$R25="Autocolor",CONCATENATE("autocolor",Бланк!$S25),IF(Бланк!$R25="Білий базовий","RAL9003","")))))))</f>
        <v/>
      </c>
      <c r="D39" s="90" t="str">
        <f>IF(Бланк!$T25="","",Бланк!$T25)</f>
        <v/>
      </c>
      <c r="E39" s="90" t="s">
        <v>278</v>
      </c>
      <c r="F39" s="98" t="str">
        <f>IF(OR(Бланк!$AI25="",Бланк!$AI25=0),"",Бланк!$AI25*$D$10)</f>
        <v/>
      </c>
    </row>
    <row r="40" spans="2:6" hidden="1" x14ac:dyDescent="0.2">
      <c r="B40" s="90">
        <v>6</v>
      </c>
      <c r="C40" s="90" t="str">
        <f>IF(Бланк!$R26="","",IF(Бланк!$R26="RAL",CONCATENATE("RAL",Бланк!$S26),IF(Бланк!$R26="NCS",CONCATENATE("NCS",Бланк!$S26),IF(Бланк!$R26="Mobihel",CONCATENATE("Mobihel",Бланк!$S26),IF(Бланк!$R26="Unicolor",CONCATENATE("Unicolor",Бланк!$S26),IF(Бланк!$R26="Autocolor",CONCATENATE("autocolor",Бланк!$S26),IF(Бланк!$R26="Білий базовий","RAL9003","")))))))</f>
        <v/>
      </c>
      <c r="D40" s="90" t="str">
        <f>IF(Бланк!$T26="","",Бланк!$T26)</f>
        <v/>
      </c>
      <c r="E40" s="90" t="s">
        <v>278</v>
      </c>
      <c r="F40" s="98" t="str">
        <f>IF(OR(Бланк!$AI26="",Бланк!$AI26=0),"",Бланк!$AI26*$D$10)</f>
        <v/>
      </c>
    </row>
    <row r="41" spans="2:6" hidden="1" x14ac:dyDescent="0.2">
      <c r="B41" s="90">
        <v>7</v>
      </c>
      <c r="C41" s="90" t="str">
        <f>IF(Бланк!$R27="","",IF(Бланк!$R27="RAL",CONCATENATE("RAL",Бланк!$S27),IF(Бланк!$R27="NCS",CONCATENATE("NCS",Бланк!$S27),IF(Бланк!$R27="Mobihel",CONCATENATE("Mobihel",Бланк!$S27),IF(Бланк!$R27="Unicolor",CONCATENATE("Unicolor",Бланк!$S27),IF(Бланк!$R27="Autocolor",CONCATENATE("autocolor",Бланк!$S27),IF(Бланк!$R27="Білий базовий","RAL9003","")))))))</f>
        <v/>
      </c>
      <c r="D41" s="90" t="str">
        <f>IF(Бланк!$T27="","",Бланк!$T27)</f>
        <v/>
      </c>
      <c r="E41" s="90" t="s">
        <v>278</v>
      </c>
      <c r="F41" s="98" t="str">
        <f>IF(OR(Бланк!$AI27="",Бланк!$AI27=0),"",Бланк!$AI27*$D$10)</f>
        <v/>
      </c>
    </row>
    <row r="42" spans="2:6" hidden="1" x14ac:dyDescent="0.2">
      <c r="B42" s="90">
        <v>8</v>
      </c>
      <c r="C42" s="90" t="str">
        <f>IF(Бланк!$R28="","",IF(Бланк!$R28="RAL",CONCATENATE("RAL",Бланк!$S28),IF(Бланк!$R28="NCS",CONCATENATE("NCS",Бланк!$S28),IF(Бланк!$R28="Mobihel",CONCATENATE("Mobihel",Бланк!$S28),IF(Бланк!$R28="Unicolor",CONCATENATE("Unicolor",Бланк!$S28),IF(Бланк!$R28="Autocolor",CONCATENATE("autocolor",Бланк!$S28),IF(Бланк!$R28="Білий базовий","RAL9003","")))))))</f>
        <v/>
      </c>
      <c r="D42" s="90" t="str">
        <f>IF(Бланк!$T28="","",Бланк!$T28)</f>
        <v/>
      </c>
      <c r="E42" s="90" t="s">
        <v>278</v>
      </c>
      <c r="F42" s="98" t="str">
        <f>IF(OR(Бланк!$AI28="",Бланк!$AI28=0),"",Бланк!$AI28*$D$10)</f>
        <v/>
      </c>
    </row>
    <row r="43" spans="2:6" hidden="1" x14ac:dyDescent="0.2">
      <c r="B43" s="90">
        <v>9</v>
      </c>
      <c r="C43" s="90" t="str">
        <f>IF(Бланк!$R29="","",IF(Бланк!$R29="RAL",CONCATENATE("RAL",Бланк!$S29),IF(Бланк!$R29="NCS",CONCATENATE("NCS",Бланк!$S29),IF(Бланк!$R29="Mobihel",CONCATENATE("Mobihel",Бланк!$S29),IF(Бланк!$R29="Unicolor",CONCATENATE("Unicolor",Бланк!$S29),IF(Бланк!$R29="Autocolor",CONCATENATE("autocolor",Бланк!$S29),IF(Бланк!$R29="Білий базовий","RAL9003","")))))))</f>
        <v/>
      </c>
      <c r="D43" s="90" t="str">
        <f>IF(Бланк!$T29="","",Бланк!$T29)</f>
        <v/>
      </c>
      <c r="E43" s="90" t="s">
        <v>278</v>
      </c>
      <c r="F43" s="98" t="str">
        <f>IF(OR(Бланк!$AI29="",Бланк!$AI29=0),"",Бланк!$AI29*$D$10)</f>
        <v/>
      </c>
    </row>
    <row r="44" spans="2:6" hidden="1" x14ac:dyDescent="0.2">
      <c r="B44" s="90">
        <v>10</v>
      </c>
      <c r="C44" s="90" t="str">
        <f>IF(Бланк!$R30="","",IF(Бланк!$R30="RAL",CONCATENATE("RAL",Бланк!$S30),IF(Бланк!$R30="NCS",CONCATENATE("NCS",Бланк!$S30),IF(Бланк!$R30="Mobihel",CONCATENATE("Mobihel",Бланк!$S30),IF(Бланк!$R30="Unicolor",CONCATENATE("Unicolor",Бланк!$S30),IF(Бланк!$R30="Autocolor",CONCATENATE("autocolor",Бланк!$S30),IF(Бланк!$R30="Білий базовий","RAL9003","")))))))</f>
        <v/>
      </c>
      <c r="D44" s="90" t="str">
        <f>IF(Бланк!$T30="","",Бланк!$T30)</f>
        <v/>
      </c>
      <c r="E44" s="90" t="s">
        <v>278</v>
      </c>
      <c r="F44" s="98" t="str">
        <f>IF(OR(Бланк!$AI30="",Бланк!$AI30=0),"",Бланк!$AI30*$D$10)</f>
        <v/>
      </c>
    </row>
    <row r="45" spans="2:6" hidden="1" x14ac:dyDescent="0.2">
      <c r="B45" s="90">
        <v>11</v>
      </c>
      <c r="C45" s="90" t="str">
        <f>IF(Бланк!$R31="","",IF(Бланк!$R31="RAL",CONCATENATE("RAL",Бланк!$S31),IF(Бланк!$R31="NCS",CONCATENATE("NCS",Бланк!$S31),IF(Бланк!$R31="Mobihel",CONCATENATE("Mobihel",Бланк!$S31),IF(Бланк!$R31="Unicolor",CONCATENATE("Unicolor",Бланк!$S31),IF(Бланк!$R31="Autocolor",CONCATENATE("autocolor",Бланк!$S31),IF(Бланк!$R31="Білий базовий","RAL9003","")))))))</f>
        <v/>
      </c>
      <c r="D45" s="90" t="str">
        <f>IF(Бланк!$T31="","",Бланк!$T31)</f>
        <v/>
      </c>
      <c r="E45" s="90" t="s">
        <v>278</v>
      </c>
      <c r="F45" s="98" t="str">
        <f>IF(OR(Бланк!$AI31="",Бланк!$AI31=0),"",Бланк!$AI31*$D$10)</f>
        <v/>
      </c>
    </row>
    <row r="46" spans="2:6" hidden="1" x14ac:dyDescent="0.2">
      <c r="B46" s="90">
        <v>12</v>
      </c>
      <c r="C46" s="90" t="str">
        <f>IF(Бланк!$R32="","",IF(Бланк!$R32="RAL",CONCATENATE("RAL",Бланк!$S32),IF(Бланк!$R32="NCS",CONCATENATE("NCS",Бланк!$S32),IF(Бланк!$R32="Mobihel",CONCATENATE("Mobihel",Бланк!$S32),IF(Бланк!$R32="Unicolor",CONCATENATE("Unicolor",Бланк!$S32),IF(Бланк!$R32="Autocolor",CONCATENATE("autocolor",Бланк!$S32),IF(Бланк!$R32="Білий базовий","RAL9003","")))))))</f>
        <v/>
      </c>
      <c r="D46" s="90" t="str">
        <f>IF(Бланк!$T32="","",Бланк!$T32)</f>
        <v/>
      </c>
      <c r="E46" s="90" t="s">
        <v>278</v>
      </c>
      <c r="F46" s="98" t="str">
        <f>IF(OR(Бланк!$AI32="",Бланк!$AI32=0),"",Бланк!$AI32*$D$10)</f>
        <v/>
      </c>
    </row>
    <row r="47" spans="2:6" hidden="1" x14ac:dyDescent="0.2">
      <c r="B47" s="90">
        <v>13</v>
      </c>
      <c r="C47" s="90" t="str">
        <f>IF(Бланк!$R33="","",IF(Бланк!$R33="RAL",CONCATENATE("RAL",Бланк!$S33),IF(Бланк!$R33="NCS",CONCATENATE("NCS",Бланк!$S33),IF(Бланк!$R33="Mobihel",CONCATENATE("Mobihel",Бланк!$S33),IF(Бланк!$R33="Unicolor",CONCATENATE("Unicolor",Бланк!$S33),IF(Бланк!$R33="Autocolor",CONCATENATE("autocolor",Бланк!$S33),IF(Бланк!$R33="Білий базовий","RAL9003","")))))))</f>
        <v/>
      </c>
      <c r="D47" s="90" t="str">
        <f>IF(Бланк!$T33="","",Бланк!$T33)</f>
        <v/>
      </c>
      <c r="E47" s="90" t="s">
        <v>278</v>
      </c>
      <c r="F47" s="98" t="str">
        <f>IF(OR(Бланк!$AI33="",Бланк!$AI33=0),"",Бланк!$AI33*$D$10)</f>
        <v/>
      </c>
    </row>
    <row r="48" spans="2:6" hidden="1" x14ac:dyDescent="0.2">
      <c r="B48" s="90">
        <v>14</v>
      </c>
      <c r="C48" s="90" t="str">
        <f>IF(Бланк!$R34="","",IF(Бланк!$R34="RAL",CONCATENATE("RAL",Бланк!$S34),IF(Бланк!$R34="NCS",CONCATENATE("NCS",Бланк!$S34),IF(Бланк!$R34="Mobihel",CONCATENATE("Mobihel",Бланк!$S34),IF(Бланк!$R34="Unicolor",CONCATENATE("Unicolor",Бланк!$S34),IF(Бланк!$R34="Autocolor",CONCATENATE("autocolor",Бланк!$S34),IF(Бланк!$R34="Білий базовий","RAL9003","")))))))</f>
        <v/>
      </c>
      <c r="D48" s="90" t="str">
        <f>IF(Бланк!$T34="","",Бланк!$T34)</f>
        <v/>
      </c>
      <c r="E48" s="90" t="s">
        <v>278</v>
      </c>
      <c r="F48" s="98" t="str">
        <f>IF(OR(Бланк!$AI34="",Бланк!$AI34=0),"",Бланк!$AI34*$D$10)</f>
        <v/>
      </c>
    </row>
    <row r="49" spans="2:6" hidden="1" x14ac:dyDescent="0.2">
      <c r="B49" s="90">
        <v>15</v>
      </c>
      <c r="C49" s="90" t="str">
        <f>IF(Бланк!$R35="","",IF(Бланк!$R35="RAL",CONCATENATE("RAL",Бланк!$S35),IF(Бланк!$R35="NCS",CONCATENATE("NCS",Бланк!$S35),IF(Бланк!$R35="Mobihel",CONCATENATE("Mobihel",Бланк!$S35),IF(Бланк!$R35="Unicolor",CONCATENATE("Unicolor",Бланк!$S35),IF(Бланк!$R35="Autocolor",CONCATENATE("autocolor",Бланк!$S35),IF(Бланк!$R35="Білий базовий","RAL9003","")))))))</f>
        <v/>
      </c>
      <c r="D49" s="90" t="str">
        <f>IF(Бланк!$T35="","",Бланк!$T35)</f>
        <v/>
      </c>
      <c r="E49" s="90" t="s">
        <v>278</v>
      </c>
      <c r="F49" s="98" t="str">
        <f>IF(OR(Бланк!$AI35="",Бланк!$AI35=0),"",Бланк!$AI35*$D$10)</f>
        <v/>
      </c>
    </row>
    <row r="50" spans="2:6" hidden="1" x14ac:dyDescent="0.2">
      <c r="B50" s="90">
        <v>16</v>
      </c>
      <c r="C50" s="90" t="str">
        <f>IF(Бланк!$R36="","",IF(Бланк!$R36="RAL",CONCATENATE("RAL",Бланк!$S36),IF(Бланк!$R36="NCS",CONCATENATE("NCS",Бланк!$S36),IF(Бланк!$R36="Mobihel",CONCATENATE("Mobihel",Бланк!$S36),IF(Бланк!$R36="Unicolor",CONCATENATE("Unicolor",Бланк!$S36),IF(Бланк!$R36="Autocolor",CONCATENATE("autocolor",Бланк!$S36),IF(Бланк!$R36="Білий базовий","RAL9003","")))))))</f>
        <v/>
      </c>
      <c r="D50" s="90" t="str">
        <f>IF(Бланк!$T36="","",Бланк!$T36)</f>
        <v/>
      </c>
      <c r="E50" s="90" t="s">
        <v>278</v>
      </c>
      <c r="F50" s="98" t="str">
        <f>IF(OR(Бланк!$AI36="",Бланк!$AI36=0),"",Бланк!$AI36*$D$10)</f>
        <v/>
      </c>
    </row>
    <row r="51" spans="2:6" hidden="1" x14ac:dyDescent="0.2">
      <c r="B51" s="90">
        <v>17</v>
      </c>
      <c r="C51" s="90" t="str">
        <f>IF(Бланк!$R37="","",IF(Бланк!$R37="RAL",CONCATENATE("RAL",Бланк!$S37),IF(Бланк!$R37="NCS",CONCATENATE("NCS",Бланк!$S37),IF(Бланк!$R37="Mobihel",CONCATENATE("Mobihel",Бланк!$S37),IF(Бланк!$R37="Unicolor",CONCATENATE("Unicolor",Бланк!$S37),IF(Бланк!$R37="Autocolor",CONCATENATE("autocolor",Бланк!$S37),IF(Бланк!$R37="Білий базовий","RAL9003","")))))))</f>
        <v/>
      </c>
      <c r="D51" s="90" t="str">
        <f>IF(Бланк!$T37="","",Бланк!$T37)</f>
        <v/>
      </c>
      <c r="E51" s="90" t="s">
        <v>278</v>
      </c>
      <c r="F51" s="98" t="str">
        <f>IF(OR(Бланк!$AI37="",Бланк!$AI37=0),"",Бланк!$AI37*$D$10)</f>
        <v/>
      </c>
    </row>
    <row r="52" spans="2:6" hidden="1" x14ac:dyDescent="0.2">
      <c r="B52" s="90">
        <v>18</v>
      </c>
      <c r="C52" s="90" t="str">
        <f>IF(Бланк!$R38="","",IF(Бланк!$R38="RAL",CONCATENATE("RAL",Бланк!$S38),IF(Бланк!$R38="NCS",CONCATENATE("NCS",Бланк!$S38),IF(Бланк!$R38="Mobihel",CONCATENATE("Mobihel",Бланк!$S38),IF(Бланк!$R38="Unicolor",CONCATENATE("Unicolor",Бланк!$S38),IF(Бланк!$R38="Autocolor",CONCATENATE("autocolor",Бланк!$S38),IF(Бланк!$R38="Білий базовий","RAL9003","")))))))</f>
        <v/>
      </c>
      <c r="D52" s="90" t="str">
        <f>IF(Бланк!$T38="","",Бланк!$T38)</f>
        <v/>
      </c>
      <c r="E52" s="90" t="s">
        <v>278</v>
      </c>
      <c r="F52" s="98" t="str">
        <f>IF(OR(Бланк!$AI38="",Бланк!$AI38=0),"",Бланк!$AI38*$D$10)</f>
        <v/>
      </c>
    </row>
    <row r="53" spans="2:6" hidden="1" x14ac:dyDescent="0.2">
      <c r="B53" s="90">
        <v>19</v>
      </c>
      <c r="C53" s="90" t="str">
        <f>IF(Бланк!$R39="","",IF(Бланк!$R39="RAL",CONCATENATE("RAL",Бланк!$S39),IF(Бланк!$R39="NCS",CONCATENATE("NCS",Бланк!$S39),IF(Бланк!$R39="Mobihel",CONCATENATE("Mobihel",Бланк!$S39),IF(Бланк!$R39="Unicolor",CONCATENATE("Unicolor",Бланк!$S39),IF(Бланк!$R39="Autocolor",CONCATENATE("autocolor",Бланк!$S39),IF(Бланк!$R39="Білий базовий","RAL9003","")))))))</f>
        <v/>
      </c>
      <c r="D53" s="90" t="str">
        <f>IF(Бланк!$T39="","",Бланк!$T39)</f>
        <v/>
      </c>
      <c r="E53" s="90" t="s">
        <v>278</v>
      </c>
      <c r="F53" s="98" t="str">
        <f>IF(OR(Бланк!$AI39="",Бланк!$AI39=0),"",Бланк!$AI39*$D$10)</f>
        <v/>
      </c>
    </row>
    <row r="54" spans="2:6" hidden="1" x14ac:dyDescent="0.2">
      <c r="B54" s="90">
        <v>20</v>
      </c>
      <c r="C54" s="90" t="str">
        <f>IF(Бланк!$R40="","",IF(Бланк!$R40="RAL",CONCATENATE("RAL",Бланк!$S40),IF(Бланк!$R40="NCS",CONCATENATE("NCS",Бланк!$S40),IF(Бланк!$R40="Mobihel",CONCATENATE("Mobihel",Бланк!$S40),IF(Бланк!$R40="Unicolor",CONCATENATE("Unicolor",Бланк!$S40),IF(Бланк!$R40="Autocolor",CONCATENATE("autocolor",Бланк!$S40),IF(Бланк!$R40="Білий базовий","RAL9003","")))))))</f>
        <v/>
      </c>
      <c r="D54" s="90" t="str">
        <f>IF(Бланк!$T40="","",Бланк!$T40)</f>
        <v/>
      </c>
      <c r="E54" s="90" t="s">
        <v>278</v>
      </c>
      <c r="F54" s="98" t="str">
        <f>IF(OR(Бланк!$AI40="",Бланк!$AI40=0),"",Бланк!$AI40*$D$10)</f>
        <v/>
      </c>
    </row>
    <row r="55" spans="2:6" hidden="1" x14ac:dyDescent="0.2">
      <c r="B55" s="90">
        <v>21</v>
      </c>
      <c r="C55" s="90" t="str">
        <f>IF(Бланк!$R41="","",IF(Бланк!$R41="RAL",CONCATENATE("RAL",Бланк!$S41),IF(Бланк!$R41="NCS",CONCATENATE("NCS",Бланк!$S41),IF(Бланк!$R41="Mobihel",CONCATENATE("Mobihel",Бланк!$S41),IF(Бланк!$R41="Unicolor",CONCATENATE("Unicolor",Бланк!$S41),IF(Бланк!$R41="Autocolor",CONCATENATE("autocolor",Бланк!$S41),IF(Бланк!$R41="Білий базовий","RAL9003","")))))))</f>
        <v/>
      </c>
      <c r="D55" s="90" t="str">
        <f>IF(Бланк!$T41="","",Бланк!$T41)</f>
        <v/>
      </c>
      <c r="E55" s="90" t="s">
        <v>278</v>
      </c>
      <c r="F55" s="98" t="str">
        <f>IF(OR(Бланк!$AI41="",Бланк!$AI41=0),"",Бланк!$AI41*$D$10)</f>
        <v/>
      </c>
    </row>
    <row r="56" spans="2:6" hidden="1" x14ac:dyDescent="0.2">
      <c r="B56" s="90">
        <v>22</v>
      </c>
      <c r="C56" s="90" t="str">
        <f>IF(Бланк!$R42="","",IF(Бланк!$R42="RAL",CONCATENATE("RAL",Бланк!$S42),IF(Бланк!$R42="NCS",CONCATENATE("NCS",Бланк!$S42),IF(Бланк!$R42="Mobihel",CONCATENATE("Mobihel",Бланк!$S42),IF(Бланк!$R42="Unicolor",CONCATENATE("Unicolor",Бланк!$S42),IF(Бланк!$R42="Autocolor",CONCATENATE("autocolor",Бланк!$S42),IF(Бланк!$R42="Білий базовий","RAL9003","")))))))</f>
        <v/>
      </c>
      <c r="D56" s="90" t="str">
        <f>IF(Бланк!$T42="","",Бланк!$T42)</f>
        <v/>
      </c>
      <c r="E56" s="90" t="s">
        <v>278</v>
      </c>
      <c r="F56" s="98" t="str">
        <f>IF(OR(Бланк!$AI42="",Бланк!$AI42=0),"",Бланк!$AI42*$D$10)</f>
        <v/>
      </c>
    </row>
    <row r="57" spans="2:6" hidden="1" x14ac:dyDescent="0.2">
      <c r="B57" s="90">
        <v>23</v>
      </c>
      <c r="C57" s="90" t="str">
        <f>IF(Бланк!$R43="","",IF(Бланк!$R43="RAL",CONCATENATE("RAL",Бланк!$S43),IF(Бланк!$R43="NCS",CONCATENATE("NCS",Бланк!$S43),IF(Бланк!$R43="Mobihel",CONCATENATE("Mobihel",Бланк!$S43),IF(Бланк!$R43="Unicolor",CONCATENATE("Unicolor",Бланк!$S43),IF(Бланк!$R43="Autocolor",CONCATENATE("autocolor",Бланк!$S43),IF(Бланк!$R43="Білий базовий","RAL9003","")))))))</f>
        <v/>
      </c>
      <c r="D57" s="90" t="str">
        <f>IF(Бланк!$T43="","",Бланк!$T43)</f>
        <v/>
      </c>
      <c r="E57" s="90" t="s">
        <v>278</v>
      </c>
      <c r="F57" s="98" t="str">
        <f>IF(OR(Бланк!$AI43="",Бланк!$AI43=0),"",Бланк!$AI43*$D$10)</f>
        <v/>
      </c>
    </row>
    <row r="58" spans="2:6" hidden="1" x14ac:dyDescent="0.2">
      <c r="B58" s="90">
        <v>24</v>
      </c>
      <c r="C58" s="90" t="str">
        <f>IF(Бланк!$R44="","",IF(Бланк!$R44="RAL",CONCATENATE("RAL",Бланк!$S44),IF(Бланк!$R44="NCS",CONCATENATE("NCS",Бланк!$S44),IF(Бланк!$R44="Mobihel",CONCATENATE("Mobihel",Бланк!$S44),IF(Бланк!$R44="Unicolor",CONCATENATE("Unicolor",Бланк!$S44),IF(Бланк!$R44="Autocolor",CONCATENATE("autocolor",Бланк!$S44),IF(Бланк!$R44="Білий базовий","RAL9003","")))))))</f>
        <v/>
      </c>
      <c r="D58" s="90" t="str">
        <f>IF(Бланк!$T44="","",Бланк!$T44)</f>
        <v/>
      </c>
      <c r="E58" s="90" t="s">
        <v>278</v>
      </c>
      <c r="F58" s="98" t="str">
        <f>IF(OR(Бланк!$AI44="",Бланк!$AI44=0),"",Бланк!$AI44*$D$10)</f>
        <v/>
      </c>
    </row>
    <row r="59" spans="2:6" hidden="1" x14ac:dyDescent="0.2">
      <c r="B59" s="90">
        <v>25</v>
      </c>
      <c r="C59" s="90" t="str">
        <f>IF(Бланк!$R45="","",IF(Бланк!$R45="RAL",CONCATENATE("RAL",Бланк!$S45),IF(Бланк!$R45="NCS",CONCATENATE("NCS",Бланк!$S45),IF(Бланк!$R45="Mobihel",CONCATENATE("Mobihel",Бланк!$S45),IF(Бланк!$R45="Unicolor",CONCATENATE("Unicolor",Бланк!$S45),IF(Бланк!$R45="Autocolor",CONCATENATE("autocolor",Бланк!$S45),IF(Бланк!$R45="Білий базовий","RAL9003","")))))))</f>
        <v/>
      </c>
      <c r="D59" s="90" t="str">
        <f>IF(Бланк!$T45="","",Бланк!$T45)</f>
        <v/>
      </c>
      <c r="E59" s="90" t="s">
        <v>278</v>
      </c>
      <c r="F59" s="98" t="str">
        <f>IF(OR(Бланк!$AI45="",Бланк!$AI45=0),"",Бланк!$AI45*$D$10)</f>
        <v/>
      </c>
    </row>
    <row r="60" spans="2:6" hidden="1" x14ac:dyDescent="0.2">
      <c r="B60" s="90">
        <v>26</v>
      </c>
      <c r="C60" s="90" t="str">
        <f>IF(Бланк!$R46="","",IF(Бланк!$R46="RAL",CONCATENATE("RAL",Бланк!$S46),IF(Бланк!$R46="NCS",CONCATENATE("NCS",Бланк!$S46),IF(Бланк!$R46="Mobihel",CONCATENATE("Mobihel",Бланк!$S46),IF(Бланк!$R46="Unicolor",CONCATENATE("Unicolor",Бланк!$S46),IF(Бланк!$R46="Autocolor",CONCATENATE("autocolor",Бланк!$S46),IF(Бланк!$R46="Білий базовий","RAL9003","")))))))</f>
        <v/>
      </c>
      <c r="D60" s="90" t="str">
        <f>IF(Бланк!$T46="","",Бланк!$T46)</f>
        <v/>
      </c>
      <c r="E60" s="90" t="s">
        <v>278</v>
      </c>
      <c r="F60" s="98" t="str">
        <f>IF(OR(Бланк!$AI46="",Бланк!$AI46=0),"",Бланк!$AI46*$D$10)</f>
        <v/>
      </c>
    </row>
    <row r="61" spans="2:6" hidden="1" x14ac:dyDescent="0.2">
      <c r="B61" s="90">
        <v>27</v>
      </c>
      <c r="C61" s="90" t="str">
        <f>IF(Бланк!$R47="","",IF(Бланк!$R47="RAL",CONCATENATE("RAL",Бланк!$S47),IF(Бланк!$R47="NCS",CONCATENATE("NCS",Бланк!$S47),IF(Бланк!$R47="Mobihel",CONCATENATE("Mobihel",Бланк!$S47),IF(Бланк!$R47="Unicolor",CONCATENATE("Unicolor",Бланк!$S47),IF(Бланк!$R47="Autocolor",CONCATENATE("autocolor",Бланк!$S47),IF(Бланк!$R47="Білий базовий","RAL9003","")))))))</f>
        <v/>
      </c>
      <c r="D61" s="90" t="str">
        <f>IF(Бланк!$T47="","",Бланк!$T47)</f>
        <v/>
      </c>
      <c r="E61" s="90" t="s">
        <v>278</v>
      </c>
      <c r="F61" s="98" t="str">
        <f>IF(OR(Бланк!$AI47="",Бланк!$AI47=0),"",Бланк!$AI47*$D$10)</f>
        <v/>
      </c>
    </row>
    <row r="62" spans="2:6" hidden="1" x14ac:dyDescent="0.2">
      <c r="B62" s="90">
        <v>28</v>
      </c>
      <c r="C62" s="90" t="str">
        <f>IF(Бланк!$R48="","",IF(Бланк!$R48="RAL",CONCATENATE("RAL",Бланк!$S48),IF(Бланк!$R48="NCS",CONCATENATE("NCS",Бланк!$S48),IF(Бланк!$R48="Mobihel",CONCATENATE("Mobihel",Бланк!$S48),IF(Бланк!$R48="Unicolor",CONCATENATE("Unicolor",Бланк!$S48),IF(Бланк!$R48="Autocolor",CONCATENATE("autocolor",Бланк!$S48),IF(Бланк!$R48="Білий базовий","RAL9003","")))))))</f>
        <v/>
      </c>
      <c r="D62" s="90" t="str">
        <f>IF(Бланк!$T48="","",Бланк!$T48)</f>
        <v/>
      </c>
      <c r="E62" s="90" t="s">
        <v>278</v>
      </c>
      <c r="F62" s="98" t="str">
        <f>IF(OR(Бланк!$AI48="",Бланк!$AI48=0),"",Бланк!$AI48*$D$10)</f>
        <v/>
      </c>
    </row>
    <row r="63" spans="2:6" hidden="1" x14ac:dyDescent="0.2">
      <c r="B63" s="90">
        <v>29</v>
      </c>
      <c r="C63" s="90" t="str">
        <f>IF(Бланк!$R49="","",IF(Бланк!$R49="RAL",CONCATENATE("RAL",Бланк!$S49),IF(Бланк!$R49="NCS",CONCATENATE("NCS",Бланк!$S49),IF(Бланк!$R49="Mobihel",CONCATENATE("Mobihel",Бланк!$S49),IF(Бланк!$R49="Unicolor",CONCATENATE("Unicolor",Бланк!$S49),IF(Бланк!$R49="Autocolor",CONCATENATE("autocolor",Бланк!$S49),IF(Бланк!$R49="Білий базовий","RAL9003","")))))))</f>
        <v/>
      </c>
      <c r="D63" s="90" t="str">
        <f>IF(Бланк!$T49="","",Бланк!$T49)</f>
        <v/>
      </c>
      <c r="E63" s="90" t="s">
        <v>278</v>
      </c>
      <c r="F63" s="98" t="str">
        <f>IF(OR(Бланк!$AI49="",Бланк!$AI49=0),"",Бланк!$AI49*$D$10)</f>
        <v/>
      </c>
    </row>
    <row r="64" spans="2:6" hidden="1" x14ac:dyDescent="0.2">
      <c r="B64" s="90">
        <v>30</v>
      </c>
      <c r="C64" s="90" t="str">
        <f>IF(Бланк!$R50="","",IF(Бланк!$R50="RAL",CONCATENATE("RAL",Бланк!$S50),IF(Бланк!$R50="NCS",CONCATENATE("NCS",Бланк!$S50),IF(Бланк!$R50="Mobihel",CONCATENATE("Mobihel",Бланк!$S50),IF(Бланк!$R50="Unicolor",CONCATENATE("Unicolor",Бланк!$S50),IF(Бланк!$R50="Autocolor",CONCATENATE("autocolor",Бланк!$S50),IF(Бланк!$R50="Білий базовий","RAL9003","")))))))</f>
        <v/>
      </c>
      <c r="D64" s="90" t="str">
        <f>IF(Бланк!$T50="","",Бланк!$T50)</f>
        <v/>
      </c>
      <c r="E64" s="90" t="s">
        <v>278</v>
      </c>
      <c r="F64" s="98" t="str">
        <f>IF(OR(Бланк!$AI50="",Бланк!$AI50=0),"",Бланк!$AI50*$D$10)</f>
        <v/>
      </c>
    </row>
    <row r="65" spans="2:6" hidden="1" x14ac:dyDescent="0.2">
      <c r="B65" s="90">
        <v>31</v>
      </c>
      <c r="C65" s="90" t="str">
        <f>IF(Бланк!$R51="","",IF(Бланк!$R51="RAL",CONCATENATE("RAL",Бланк!$S51),IF(Бланк!$R51="NCS",CONCATENATE("NCS",Бланк!$S51),IF(Бланк!$R51="Mobihel",CONCATENATE("Mobihel",Бланк!$S51),IF(Бланк!$R51="Unicolor",CONCATENATE("Unicolor",Бланк!$S51),IF(Бланк!$R51="Autocolor",CONCATENATE("autocolor",Бланк!$S51),IF(Бланк!$R51="Білий базовий","RAL9003","")))))))</f>
        <v/>
      </c>
      <c r="D65" s="90" t="str">
        <f>IF(Бланк!$T51="","",Бланк!$T51)</f>
        <v/>
      </c>
      <c r="E65" s="90" t="s">
        <v>278</v>
      </c>
      <c r="F65" s="98" t="str">
        <f>IF(OR(Бланк!$AI51="",Бланк!$AI51=0),"",Бланк!$AI51*$D$10)</f>
        <v/>
      </c>
    </row>
    <row r="66" spans="2:6" hidden="1" x14ac:dyDescent="0.2">
      <c r="B66" s="90">
        <v>32</v>
      </c>
      <c r="C66" s="90" t="str">
        <f>IF(Бланк!$R52="","",IF(Бланк!$R52="RAL",CONCATENATE("RAL",Бланк!$S52),IF(Бланк!$R52="NCS",CONCATENATE("NCS",Бланк!$S52),IF(Бланк!$R52="Mobihel",CONCATENATE("Mobihel",Бланк!$S52),IF(Бланк!$R52="Unicolor",CONCATENATE("Unicolor",Бланк!$S52),IF(Бланк!$R52="Autocolor",CONCATENATE("autocolor",Бланк!$S52),IF(Бланк!$R52="Білий базовий","RAL9003","")))))))</f>
        <v/>
      </c>
      <c r="D66" s="90" t="str">
        <f>IF(Бланк!$T52="","",Бланк!$T52)</f>
        <v/>
      </c>
      <c r="E66" s="90" t="s">
        <v>278</v>
      </c>
      <c r="F66" s="98" t="str">
        <f>IF(OR(Бланк!$AI52="",Бланк!$AI52=0),"",Бланк!$AI52*$D$10)</f>
        <v/>
      </c>
    </row>
    <row r="67" spans="2:6" hidden="1" x14ac:dyDescent="0.2">
      <c r="B67" s="90">
        <v>33</v>
      </c>
      <c r="C67" s="90" t="str">
        <f>IF(Бланк!$R53="","",IF(Бланк!$R53="RAL",CONCATENATE("RAL",Бланк!$S53),IF(Бланк!$R53="NCS",CONCATENATE("NCS",Бланк!$S53),IF(Бланк!$R53="Mobihel",CONCATENATE("Mobihel",Бланк!$S53),IF(Бланк!$R53="Unicolor",CONCATENATE("Unicolor",Бланк!$S53),IF(Бланк!$R53="Autocolor",CONCATENATE("autocolor",Бланк!$S53),IF(Бланк!$R53="Білий базовий","RAL9003","")))))))</f>
        <v/>
      </c>
      <c r="D67" s="90" t="str">
        <f>IF(Бланк!$T53="","",Бланк!$T53)</f>
        <v/>
      </c>
      <c r="E67" s="90" t="s">
        <v>278</v>
      </c>
      <c r="F67" s="98" t="str">
        <f>IF(OR(Бланк!$AI53="",Бланк!$AI53=0),"",Бланк!$AI53*$D$10)</f>
        <v/>
      </c>
    </row>
    <row r="68" spans="2:6" hidden="1" x14ac:dyDescent="0.2">
      <c r="B68" s="90">
        <v>34</v>
      </c>
      <c r="C68" s="90" t="str">
        <f>IF(Бланк!$R54="","",IF(Бланк!$R54="RAL",CONCATENATE("RAL",Бланк!$S54),IF(Бланк!$R54="NCS",CONCATENATE("NCS",Бланк!$S54),IF(Бланк!$R54="Mobihel",CONCATENATE("Mobihel",Бланк!$S54),IF(Бланк!$R54="Unicolor",CONCATENATE("Unicolor",Бланк!$S54),IF(Бланк!$R54="Autocolor",CONCATENATE("autocolor",Бланк!$S54),IF(Бланк!$R54="Білий базовий","RAL9003","")))))))</f>
        <v/>
      </c>
      <c r="D68" s="90" t="str">
        <f>IF(Бланк!$T54="","",Бланк!$T54)</f>
        <v/>
      </c>
      <c r="E68" s="90" t="s">
        <v>278</v>
      </c>
      <c r="F68" s="98" t="str">
        <f>IF(OR(Бланк!$AI54="",Бланк!$AI54=0),"",Бланк!$AI54*$D$10)</f>
        <v/>
      </c>
    </row>
    <row r="69" spans="2:6" hidden="1" x14ac:dyDescent="0.2">
      <c r="B69" s="90">
        <v>35</v>
      </c>
      <c r="C69" s="90" t="str">
        <f>IF(Бланк!$R55="","",IF(Бланк!$R55="RAL",CONCATENATE("RAL",Бланк!$S55),IF(Бланк!$R55="NCS",CONCATENATE("NCS",Бланк!$S55),IF(Бланк!$R55="Mobihel",CONCATENATE("Mobihel",Бланк!$S55),IF(Бланк!$R55="Unicolor",CONCATENATE("Unicolor",Бланк!$S55),IF(Бланк!$R55="Autocolor",CONCATENATE("autocolor",Бланк!$S55),IF(Бланк!$R55="Білий базовий","RAL9003","")))))))</f>
        <v/>
      </c>
      <c r="D69" s="90" t="str">
        <f>IF(Бланк!$T55="","",Бланк!$T55)</f>
        <v/>
      </c>
      <c r="E69" s="90" t="s">
        <v>278</v>
      </c>
      <c r="F69" s="98" t="str">
        <f>IF(OR(Бланк!$AI55="",Бланк!$AI55=0),"",Бланк!$AI55*$D$10)</f>
        <v/>
      </c>
    </row>
    <row r="70" spans="2:6" hidden="1" x14ac:dyDescent="0.2">
      <c r="B70" s="90">
        <v>36</v>
      </c>
      <c r="C70" s="90" t="str">
        <f>IF(Бланк!$R56="","",IF(Бланк!$R56="RAL",CONCATENATE("RAL",Бланк!$S56),IF(Бланк!$R56="NCS",CONCATENATE("NCS",Бланк!$S56),IF(Бланк!$R56="Mobihel",CONCATENATE("Mobihel",Бланк!$S56),IF(Бланк!$R56="Unicolor",CONCATENATE("Unicolor",Бланк!$S56),IF(Бланк!$R56="Autocolor",CONCATENATE("autocolor",Бланк!$S56),IF(Бланк!$R56="Білий базовий","RAL9003","")))))))</f>
        <v/>
      </c>
      <c r="D70" s="90" t="str">
        <f>IF(Бланк!$T56="","",Бланк!$T56)</f>
        <v/>
      </c>
      <c r="E70" s="90" t="s">
        <v>278</v>
      </c>
      <c r="F70" s="98" t="str">
        <f>IF(OR(Бланк!$AI56="",Бланк!$AI56=0),"",Бланк!$AI56*$D$10)</f>
        <v/>
      </c>
    </row>
    <row r="71" spans="2:6" hidden="1" x14ac:dyDescent="0.2">
      <c r="B71" s="90">
        <v>37</v>
      </c>
      <c r="C71" s="90" t="str">
        <f>IF(Бланк!$R57="","",IF(Бланк!$R57="RAL",CONCATENATE("RAL",Бланк!$S57),IF(Бланк!$R57="NCS",CONCATENATE("NCS",Бланк!$S57),IF(Бланк!$R57="Mobihel",CONCATENATE("Mobihel",Бланк!$S57),IF(Бланк!$R57="Unicolor",CONCATENATE("Unicolor",Бланк!$S57),IF(Бланк!$R57="Autocolor",CONCATENATE("autocolor",Бланк!$S57),IF(Бланк!$R57="Білий базовий","RAL9003","")))))))</f>
        <v/>
      </c>
      <c r="D71" s="90" t="str">
        <f>IF(Бланк!$T57="","",Бланк!$T57)</f>
        <v/>
      </c>
      <c r="E71" s="90" t="s">
        <v>278</v>
      </c>
      <c r="F71" s="98" t="str">
        <f>IF(OR(Бланк!$AI57="",Бланк!$AI57=0),"",Бланк!$AI57*$D$10)</f>
        <v/>
      </c>
    </row>
    <row r="72" spans="2:6" hidden="1" x14ac:dyDescent="0.2">
      <c r="B72" s="90">
        <v>38</v>
      </c>
      <c r="C72" s="90" t="str">
        <f>IF(Бланк!$R58="","",IF(Бланк!$R58="RAL",CONCATENATE("RAL",Бланк!$S58),IF(Бланк!$R58="NCS",CONCATENATE("NCS",Бланк!$S58),IF(Бланк!$R58="Mobihel",CONCATENATE("Mobihel",Бланк!$S58),IF(Бланк!$R58="Unicolor",CONCATENATE("Unicolor",Бланк!$S58),IF(Бланк!$R58="Autocolor",CONCATENATE("autocolor",Бланк!$S58),IF(Бланк!$R58="Білий базовий","RAL9003","")))))))</f>
        <v/>
      </c>
      <c r="D72" s="90" t="str">
        <f>IF(Бланк!$T58="","",Бланк!$T58)</f>
        <v/>
      </c>
      <c r="E72" s="90" t="s">
        <v>278</v>
      </c>
      <c r="F72" s="98" t="str">
        <f>IF(OR(Бланк!$AI58="",Бланк!$AI58=0),"",Бланк!$AI58*$D$10)</f>
        <v/>
      </c>
    </row>
    <row r="73" spans="2:6" hidden="1" x14ac:dyDescent="0.2">
      <c r="B73" s="90">
        <v>39</v>
      </c>
      <c r="C73" s="90" t="str">
        <f>IF(Бланк!$R59="","",IF(Бланк!$R59="RAL",CONCATENATE("RAL",Бланк!$S59),IF(Бланк!$R59="NCS",CONCATENATE("NCS",Бланк!$S59),IF(Бланк!$R59="Mobihel",CONCATENATE("Mobihel",Бланк!$S59),IF(Бланк!$R59="Unicolor",CONCATENATE("Unicolor",Бланк!$S59),IF(Бланк!$R59="Autocolor",CONCATENATE("autocolor",Бланк!$S59),IF(Бланк!$R59="Білий базовий","RAL9003","")))))))</f>
        <v/>
      </c>
      <c r="D73" s="90" t="str">
        <f>IF(Бланк!$T59="","",Бланк!$T59)</f>
        <v/>
      </c>
      <c r="E73" s="90" t="s">
        <v>278</v>
      </c>
      <c r="F73" s="98" t="str">
        <f>IF(OR(Бланк!$AI59="",Бланк!$AI59=0),"",Бланк!$AI59*$D$10)</f>
        <v/>
      </c>
    </row>
    <row r="74" spans="2:6" hidden="1" x14ac:dyDescent="0.2">
      <c r="B74" s="90">
        <v>40</v>
      </c>
      <c r="C74" s="90" t="str">
        <f>IF(Бланк!$R60="","",IF(Бланк!$R60="RAL",CONCATENATE("RAL",Бланк!$S60),IF(Бланк!$R60="NCS",CONCATENATE("NCS",Бланк!$S60),IF(Бланк!$R60="Mobihel",CONCATENATE("Mobihel",Бланк!$S60),IF(Бланк!$R60="Unicolor",CONCATENATE("Unicolor",Бланк!$S60),IF(Бланк!$R60="Autocolor",CONCATENATE("autocolor",Бланк!$S60),IF(Бланк!$R60="Білий базовий","RAL9003","")))))))</f>
        <v/>
      </c>
      <c r="D74" s="90" t="str">
        <f>IF(Бланк!$T60="","",Бланк!$T60)</f>
        <v/>
      </c>
      <c r="E74" s="90" t="s">
        <v>278</v>
      </c>
      <c r="F74" s="98" t="str">
        <f>IF(OR(Бланк!$AI60="",Бланк!$AI60=0),"",Бланк!$AI60*$D$10)</f>
        <v/>
      </c>
    </row>
    <row r="75" spans="2:6" hidden="1" x14ac:dyDescent="0.2">
      <c r="B75" s="90">
        <v>41</v>
      </c>
      <c r="C75" s="90" t="str">
        <f>IF(Бланк!$R61="","",IF(Бланк!$R61="RAL",CONCATENATE("RAL",Бланк!$S61),IF(Бланк!$R61="NCS",CONCATENATE("NCS",Бланк!$S61),IF(Бланк!$R61="Mobihel",CONCATENATE("Mobihel",Бланк!$S61),IF(Бланк!$R61="Unicolor",CONCATENATE("Unicolor",Бланк!$S61),IF(Бланк!$R61="Autocolor",CONCATENATE("autocolor",Бланк!$S61),IF(Бланк!$R61="Білий базовий","RAL9003","")))))))</f>
        <v/>
      </c>
      <c r="D75" s="90" t="str">
        <f>IF(Бланк!$T61="","",Бланк!$T61)</f>
        <v/>
      </c>
      <c r="E75" s="90" t="s">
        <v>278</v>
      </c>
      <c r="F75" s="98" t="str">
        <f>IF(OR(Бланк!$AI61="",Бланк!$AI61=0),"",Бланк!$AI61*$D$10)</f>
        <v/>
      </c>
    </row>
    <row r="76" spans="2:6" hidden="1" x14ac:dyDescent="0.2">
      <c r="B76" s="90">
        <v>42</v>
      </c>
      <c r="C76" s="90" t="str">
        <f>IF(Бланк!$R62="","",IF(Бланк!$R62="RAL",CONCATENATE("RAL",Бланк!$S62),IF(Бланк!$R62="NCS",CONCATENATE("NCS",Бланк!$S62),IF(Бланк!$R62="Mobihel",CONCATENATE("Mobihel",Бланк!$S62),IF(Бланк!$R62="Unicolor",CONCATENATE("Unicolor",Бланк!$S62),IF(Бланк!$R62="Autocolor",CONCATENATE("autocolor",Бланк!$S62),IF(Бланк!$R62="Білий базовий","RAL9003","")))))))</f>
        <v/>
      </c>
      <c r="D76" s="90" t="str">
        <f>IF(Бланк!$T62="","",Бланк!$T62)</f>
        <v/>
      </c>
      <c r="E76" s="90" t="s">
        <v>278</v>
      </c>
      <c r="F76" s="98" t="str">
        <f>IF(OR(Бланк!$AI62="",Бланк!$AI62=0),"",Бланк!$AI62*$D$10)</f>
        <v/>
      </c>
    </row>
    <row r="77" spans="2:6" hidden="1" x14ac:dyDescent="0.2">
      <c r="B77" s="90">
        <v>43</v>
      </c>
      <c r="C77" s="90" t="str">
        <f>IF(Бланк!$R63="","",IF(Бланк!$R63="RAL",CONCATENATE("RAL",Бланк!$S63),IF(Бланк!$R63="NCS",CONCATENATE("NCS",Бланк!$S63),IF(Бланк!$R63="Mobihel",CONCATENATE("Mobihel",Бланк!$S63),IF(Бланк!$R63="Unicolor",CONCATENATE("Unicolor",Бланк!$S63),IF(Бланк!$R63="Autocolor",CONCATENATE("autocolor",Бланк!$S63),IF(Бланк!$R63="Білий базовий","RAL9003","")))))))</f>
        <v/>
      </c>
      <c r="D77" s="90" t="str">
        <f>IF(Бланк!$T63="","",Бланк!$T63)</f>
        <v/>
      </c>
      <c r="E77" s="90" t="s">
        <v>278</v>
      </c>
      <c r="F77" s="98" t="str">
        <f>IF(OR(Бланк!$AI63="",Бланк!$AI63=0),"",Бланк!$AI63*$D$10)</f>
        <v/>
      </c>
    </row>
    <row r="78" spans="2:6" hidden="1" x14ac:dyDescent="0.2">
      <c r="B78" s="90">
        <v>44</v>
      </c>
      <c r="C78" s="90" t="str">
        <f>IF(Бланк!$R64="","",IF(Бланк!$R64="RAL",CONCATENATE("RAL",Бланк!$S64),IF(Бланк!$R64="NCS",CONCATENATE("NCS",Бланк!$S64),IF(Бланк!$R64="Mobihel",CONCATENATE("Mobihel",Бланк!$S64),IF(Бланк!$R64="Unicolor",CONCATENATE("Unicolor",Бланк!$S64),IF(Бланк!$R64="Autocolor",CONCATENATE("autocolor",Бланк!$S64),IF(Бланк!$R64="Білий базовий","RAL9003","")))))))</f>
        <v/>
      </c>
      <c r="D78" s="90" t="str">
        <f>IF(Бланк!$T64="","",Бланк!$T64)</f>
        <v/>
      </c>
      <c r="E78" s="90" t="s">
        <v>278</v>
      </c>
      <c r="F78" s="98" t="str">
        <f>IF(OR(Бланк!$AI64="",Бланк!$AI64=0),"",Бланк!$AI64*$D$10)</f>
        <v/>
      </c>
    </row>
    <row r="79" spans="2:6" hidden="1" x14ac:dyDescent="0.2">
      <c r="B79" s="90">
        <v>45</v>
      </c>
      <c r="C79" s="90" t="str">
        <f>IF(Бланк!$R65="","",IF(Бланк!$R65="RAL",CONCATENATE("RAL",Бланк!$S65),IF(Бланк!$R65="NCS",CONCATENATE("NCS",Бланк!$S65),IF(Бланк!$R65="Mobihel",CONCATENATE("Mobihel",Бланк!$S65),IF(Бланк!$R65="Unicolor",CONCATENATE("Unicolor",Бланк!$S65),IF(Бланк!$R65="Autocolor",CONCATENATE("autocolor",Бланк!$S65),IF(Бланк!$R65="Білий базовий","RAL9003","")))))))</f>
        <v/>
      </c>
      <c r="D79" s="90" t="str">
        <f>IF(Бланк!$T65="","",Бланк!$T65)</f>
        <v/>
      </c>
      <c r="E79" s="90" t="s">
        <v>278</v>
      </c>
      <c r="F79" s="98" t="str">
        <f>IF(OR(Бланк!$AI65="",Бланк!$AI65=0),"",Бланк!$AI65*$D$10)</f>
        <v/>
      </c>
    </row>
    <row r="80" spans="2:6" hidden="1" x14ac:dyDescent="0.2">
      <c r="F80" s="99">
        <f>SUM(F35:F79)</f>
        <v>0.72</v>
      </c>
    </row>
  </sheetData>
  <mergeCells count="2">
    <mergeCell ref="B5:C5"/>
    <mergeCell ref="E5:F5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C4:S60"/>
  <sheetViews>
    <sheetView workbookViewId="0">
      <selection activeCell="C11" sqref="C11"/>
    </sheetView>
  </sheetViews>
  <sheetFormatPr defaultRowHeight="12.75" x14ac:dyDescent="0.2"/>
  <cols>
    <col min="3" max="3" width="7.7109375" bestFit="1" customWidth="1"/>
    <col min="4" max="4" width="15" bestFit="1" customWidth="1"/>
    <col min="5" max="5" width="15.85546875" bestFit="1" customWidth="1"/>
    <col min="6" max="6" width="15" customWidth="1"/>
    <col min="7" max="7" width="23.42578125" bestFit="1" customWidth="1"/>
    <col min="10" max="10" width="4.28515625" bestFit="1" customWidth="1"/>
    <col min="11" max="11" width="18.140625" bestFit="1" customWidth="1"/>
    <col min="12" max="12" width="40.28515625" bestFit="1" customWidth="1"/>
    <col min="13" max="13" width="9" customWidth="1"/>
    <col min="14" max="14" width="6.5703125" bestFit="1" customWidth="1"/>
    <col min="17" max="17" width="13.42578125" bestFit="1" customWidth="1"/>
    <col min="18" max="18" width="10.7109375" bestFit="1" customWidth="1"/>
  </cols>
  <sheetData>
    <row r="4" spans="3:19" ht="18.75" customHeight="1" x14ac:dyDescent="0.2">
      <c r="C4" t="s">
        <v>56</v>
      </c>
      <c r="D4" t="s">
        <v>57</v>
      </c>
      <c r="E4" t="s">
        <v>202</v>
      </c>
      <c r="F4" t="s">
        <v>206</v>
      </c>
      <c r="G4" t="s">
        <v>85</v>
      </c>
      <c r="H4" t="s">
        <v>107</v>
      </c>
      <c r="I4" t="s">
        <v>106</v>
      </c>
      <c r="J4" s="64" t="s">
        <v>112</v>
      </c>
      <c r="K4" t="s">
        <v>86</v>
      </c>
      <c r="L4" s="22" t="s">
        <v>44</v>
      </c>
      <c r="M4" s="22">
        <v>0</v>
      </c>
      <c r="N4" s="22" t="s">
        <v>45</v>
      </c>
      <c r="Q4" t="s">
        <v>113</v>
      </c>
      <c r="R4" t="s">
        <v>114</v>
      </c>
    </row>
    <row r="5" spans="3:19" ht="18.75" customHeight="1" x14ac:dyDescent="0.2">
      <c r="C5" s="64">
        <v>4</v>
      </c>
      <c r="D5" t="s">
        <v>58</v>
      </c>
      <c r="E5" t="s">
        <v>198</v>
      </c>
      <c r="F5" t="s">
        <v>205</v>
      </c>
      <c r="G5" t="s">
        <v>62</v>
      </c>
      <c r="H5" t="s">
        <v>91</v>
      </c>
      <c r="I5" t="s">
        <v>109</v>
      </c>
      <c r="J5" s="64">
        <v>200</v>
      </c>
      <c r="K5" s="22" t="s">
        <v>189</v>
      </c>
      <c r="L5" s="22" t="s">
        <v>20</v>
      </c>
      <c r="M5" s="22">
        <v>1350</v>
      </c>
      <c r="N5" s="22" t="s">
        <v>46</v>
      </c>
      <c r="P5" s="22" t="s">
        <v>211</v>
      </c>
      <c r="S5" t="s">
        <v>320</v>
      </c>
    </row>
    <row r="6" spans="3:19" x14ac:dyDescent="0.2">
      <c r="C6" s="64">
        <v>6</v>
      </c>
      <c r="D6" t="s">
        <v>59</v>
      </c>
      <c r="E6" t="s">
        <v>199</v>
      </c>
      <c r="F6" t="s">
        <v>207</v>
      </c>
      <c r="G6" t="s">
        <v>63</v>
      </c>
      <c r="H6" t="s">
        <v>92</v>
      </c>
      <c r="I6" t="s">
        <v>109</v>
      </c>
      <c r="J6" s="64">
        <v>200</v>
      </c>
      <c r="K6" s="22" t="s">
        <v>190</v>
      </c>
      <c r="L6" s="22" t="s">
        <v>21</v>
      </c>
      <c r="M6" s="22">
        <v>1430</v>
      </c>
      <c r="N6" s="22" t="s">
        <v>47</v>
      </c>
      <c r="P6" s="22" t="s">
        <v>210</v>
      </c>
      <c r="S6" t="s">
        <v>321</v>
      </c>
    </row>
    <row r="7" spans="3:19" x14ac:dyDescent="0.2">
      <c r="C7" s="64">
        <v>8</v>
      </c>
      <c r="D7" t="s">
        <v>60</v>
      </c>
      <c r="E7" t="s">
        <v>200</v>
      </c>
      <c r="F7" t="s">
        <v>208</v>
      </c>
      <c r="G7" t="s">
        <v>64</v>
      </c>
      <c r="H7" t="s">
        <v>93</v>
      </c>
      <c r="I7" t="s">
        <v>110</v>
      </c>
      <c r="J7" s="64">
        <v>200</v>
      </c>
      <c r="K7" s="22" t="s">
        <v>51</v>
      </c>
      <c r="L7" s="22" t="s">
        <v>22</v>
      </c>
      <c r="M7" s="22">
        <v>1570</v>
      </c>
      <c r="N7" s="22" t="s">
        <v>48</v>
      </c>
      <c r="S7" t="s">
        <v>322</v>
      </c>
    </row>
    <row r="8" spans="3:19" x14ac:dyDescent="0.2">
      <c r="C8" s="64">
        <v>10</v>
      </c>
      <c r="D8" t="s">
        <v>61</v>
      </c>
      <c r="E8" t="s">
        <v>201</v>
      </c>
      <c r="F8" t="s">
        <v>209</v>
      </c>
      <c r="G8" t="s">
        <v>66</v>
      </c>
      <c r="H8" t="s">
        <v>94</v>
      </c>
      <c r="I8" t="s">
        <v>110</v>
      </c>
      <c r="J8" s="64">
        <v>200</v>
      </c>
      <c r="K8" s="22" t="s">
        <v>185</v>
      </c>
      <c r="L8" s="22" t="s">
        <v>23</v>
      </c>
      <c r="M8" s="22">
        <v>1650</v>
      </c>
      <c r="N8" s="22" t="s">
        <v>49</v>
      </c>
      <c r="S8" t="s">
        <v>323</v>
      </c>
    </row>
    <row r="9" spans="3:19" x14ac:dyDescent="0.2">
      <c r="C9" s="64">
        <v>16</v>
      </c>
      <c r="G9" t="s">
        <v>65</v>
      </c>
      <c r="H9" t="s">
        <v>95</v>
      </c>
      <c r="I9" t="s">
        <v>110</v>
      </c>
      <c r="J9" s="64">
        <v>200</v>
      </c>
      <c r="K9" s="22" t="s">
        <v>186</v>
      </c>
      <c r="L9" s="22" t="s">
        <v>26</v>
      </c>
      <c r="M9" s="22">
        <v>1410</v>
      </c>
      <c r="N9" s="22" t="s">
        <v>50</v>
      </c>
    </row>
    <row r="10" spans="3:19" ht="15" customHeight="1" x14ac:dyDescent="0.2">
      <c r="C10" s="64">
        <v>19</v>
      </c>
      <c r="G10" t="s">
        <v>319</v>
      </c>
      <c r="H10" t="s">
        <v>96</v>
      </c>
      <c r="I10" t="s">
        <v>110</v>
      </c>
      <c r="J10" s="64">
        <v>200</v>
      </c>
      <c r="K10" s="22" t="s">
        <v>193</v>
      </c>
      <c r="L10" s="22" t="s">
        <v>27</v>
      </c>
      <c r="M10" s="22">
        <v>1490</v>
      </c>
      <c r="N10" t="s">
        <v>53</v>
      </c>
    </row>
    <row r="11" spans="3:19" ht="15" customHeight="1" x14ac:dyDescent="0.2">
      <c r="C11">
        <v>22</v>
      </c>
      <c r="H11" t="s">
        <v>97</v>
      </c>
      <c r="I11" t="s">
        <v>110</v>
      </c>
      <c r="J11" s="64">
        <v>200</v>
      </c>
      <c r="K11" s="22" t="s">
        <v>52</v>
      </c>
      <c r="L11" t="s">
        <v>28</v>
      </c>
      <c r="M11">
        <v>1980</v>
      </c>
      <c r="N11" s="22" t="s">
        <v>318</v>
      </c>
    </row>
    <row r="12" spans="3:19" ht="15" customHeight="1" x14ac:dyDescent="0.2">
      <c r="C12" t="s">
        <v>197</v>
      </c>
      <c r="H12" t="s">
        <v>98</v>
      </c>
      <c r="I12" t="s">
        <v>109</v>
      </c>
      <c r="J12" s="64">
        <v>200</v>
      </c>
      <c r="K12" s="22" t="s">
        <v>187</v>
      </c>
      <c r="L12" t="s">
        <v>29</v>
      </c>
      <c r="M12">
        <v>2060</v>
      </c>
    </row>
    <row r="13" spans="3:19" ht="15" customHeight="1" x14ac:dyDescent="0.2">
      <c r="H13" t="s">
        <v>99</v>
      </c>
      <c r="I13" t="s">
        <v>111</v>
      </c>
      <c r="J13" s="64">
        <v>200</v>
      </c>
      <c r="K13" s="22" t="s">
        <v>194</v>
      </c>
      <c r="L13" t="s">
        <v>30</v>
      </c>
      <c r="M13">
        <v>1980</v>
      </c>
    </row>
    <row r="14" spans="3:19" ht="15" customHeight="1" x14ac:dyDescent="0.2">
      <c r="H14" t="s">
        <v>100</v>
      </c>
      <c r="I14" t="s">
        <v>111</v>
      </c>
      <c r="J14" s="64">
        <v>200</v>
      </c>
      <c r="K14" s="22" t="s">
        <v>195</v>
      </c>
      <c r="L14" t="s">
        <v>31</v>
      </c>
      <c r="M14">
        <v>2060</v>
      </c>
    </row>
    <row r="15" spans="3:19" ht="15" customHeight="1" x14ac:dyDescent="0.2">
      <c r="H15" t="s">
        <v>101</v>
      </c>
      <c r="I15" t="s">
        <v>111</v>
      </c>
      <c r="J15" s="64">
        <v>200</v>
      </c>
      <c r="K15" s="22" t="s">
        <v>191</v>
      </c>
      <c r="L15" t="s">
        <v>44</v>
      </c>
      <c r="M15">
        <v>0</v>
      </c>
    </row>
    <row r="16" spans="3:19" ht="15" customHeight="1" x14ac:dyDescent="0.2">
      <c r="H16" t="s">
        <v>102</v>
      </c>
      <c r="I16" t="s">
        <v>109</v>
      </c>
      <c r="J16" s="64">
        <v>200</v>
      </c>
      <c r="K16" s="22" t="s">
        <v>192</v>
      </c>
      <c r="L16" t="s">
        <v>39</v>
      </c>
      <c r="M16">
        <v>3680</v>
      </c>
    </row>
    <row r="17" spans="8:13" x14ac:dyDescent="0.2">
      <c r="H17" t="s">
        <v>103</v>
      </c>
      <c r="I17" t="s">
        <v>111</v>
      </c>
      <c r="J17" s="64">
        <v>200</v>
      </c>
      <c r="K17" s="22" t="s">
        <v>314</v>
      </c>
      <c r="L17" t="s">
        <v>38</v>
      </c>
      <c r="M17">
        <v>3810</v>
      </c>
    </row>
    <row r="18" spans="8:13" x14ac:dyDescent="0.2">
      <c r="H18" t="s">
        <v>104</v>
      </c>
      <c r="I18" t="s">
        <v>111</v>
      </c>
      <c r="J18" s="64">
        <v>200</v>
      </c>
      <c r="K18" s="22" t="s">
        <v>365</v>
      </c>
      <c r="L18" t="s">
        <v>37</v>
      </c>
      <c r="M18">
        <v>3900</v>
      </c>
    </row>
    <row r="19" spans="8:13" x14ac:dyDescent="0.2">
      <c r="H19" t="s">
        <v>105</v>
      </c>
      <c r="I19" t="s">
        <v>111</v>
      </c>
      <c r="J19" s="64">
        <v>200</v>
      </c>
      <c r="K19" s="22" t="s">
        <v>188</v>
      </c>
      <c r="L19" t="s">
        <v>36</v>
      </c>
      <c r="M19">
        <v>4030</v>
      </c>
    </row>
    <row r="20" spans="8:13" x14ac:dyDescent="0.2">
      <c r="H20" t="s">
        <v>108</v>
      </c>
      <c r="I20" t="s">
        <v>109</v>
      </c>
      <c r="J20" s="64">
        <v>190</v>
      </c>
      <c r="K20" s="22" t="s">
        <v>196</v>
      </c>
      <c r="L20" s="22" t="s">
        <v>34</v>
      </c>
      <c r="M20">
        <v>3740</v>
      </c>
    </row>
    <row r="21" spans="8:13" x14ac:dyDescent="0.2">
      <c r="H21" t="s">
        <v>324</v>
      </c>
      <c r="K21" s="22" t="s">
        <v>317</v>
      </c>
      <c r="L21" s="22" t="s">
        <v>35</v>
      </c>
      <c r="M21">
        <v>3870</v>
      </c>
    </row>
    <row r="22" spans="8:13" x14ac:dyDescent="0.2">
      <c r="H22" t="s">
        <v>345</v>
      </c>
      <c r="L22" t="s">
        <v>40</v>
      </c>
      <c r="M22">
        <v>4310</v>
      </c>
    </row>
    <row r="23" spans="8:13" x14ac:dyDescent="0.2">
      <c r="H23" t="s">
        <v>325</v>
      </c>
      <c r="L23" t="s">
        <v>41</v>
      </c>
      <c r="M23">
        <v>4440</v>
      </c>
    </row>
    <row r="24" spans="8:13" x14ac:dyDescent="0.2">
      <c r="H24" t="s">
        <v>326</v>
      </c>
      <c r="L24" t="s">
        <v>42</v>
      </c>
      <c r="M24">
        <v>4310</v>
      </c>
    </row>
    <row r="25" spans="8:13" x14ac:dyDescent="0.2">
      <c r="H25" t="s">
        <v>318</v>
      </c>
      <c r="L25" t="s">
        <v>43</v>
      </c>
      <c r="M25">
        <v>4440</v>
      </c>
    </row>
    <row r="26" spans="8:13" x14ac:dyDescent="0.2">
      <c r="H26" t="s">
        <v>402</v>
      </c>
    </row>
    <row r="27" spans="8:13" x14ac:dyDescent="0.2">
      <c r="H27" t="s">
        <v>403</v>
      </c>
    </row>
    <row r="28" spans="8:13" x14ac:dyDescent="0.2">
      <c r="H28" t="s">
        <v>404</v>
      </c>
    </row>
    <row r="29" spans="8:13" x14ac:dyDescent="0.2">
      <c r="H29" t="s">
        <v>405</v>
      </c>
    </row>
    <row r="30" spans="8:13" x14ac:dyDescent="0.2">
      <c r="H30" t="s">
        <v>406</v>
      </c>
    </row>
    <row r="31" spans="8:13" x14ac:dyDescent="0.2">
      <c r="H31" t="s">
        <v>407</v>
      </c>
    </row>
    <row r="32" spans="8:13" x14ac:dyDescent="0.2">
      <c r="H32" t="s">
        <v>408</v>
      </c>
    </row>
    <row r="33" spans="3:8" x14ac:dyDescent="0.2">
      <c r="H33" t="s">
        <v>409</v>
      </c>
    </row>
    <row r="34" spans="3:8" x14ac:dyDescent="0.2">
      <c r="H34" t="s">
        <v>410</v>
      </c>
    </row>
    <row r="35" spans="3:8" x14ac:dyDescent="0.2">
      <c r="H35" t="s">
        <v>411</v>
      </c>
    </row>
    <row r="36" spans="3:8" x14ac:dyDescent="0.2">
      <c r="H36" t="s">
        <v>412</v>
      </c>
    </row>
    <row r="37" spans="3:8" x14ac:dyDescent="0.2">
      <c r="H37" t="s">
        <v>413</v>
      </c>
    </row>
    <row r="43" spans="3:8" x14ac:dyDescent="0.2">
      <c r="C43" t="s">
        <v>262</v>
      </c>
      <c r="D43" t="s">
        <v>263</v>
      </c>
      <c r="E43" t="s">
        <v>264</v>
      </c>
      <c r="F43" t="s">
        <v>265</v>
      </c>
      <c r="G43" t="s">
        <v>266</v>
      </c>
    </row>
    <row r="44" spans="3:8" x14ac:dyDescent="0.2">
      <c r="G44" t="s">
        <v>108</v>
      </c>
      <c r="H44" t="s">
        <v>267</v>
      </c>
    </row>
    <row r="45" spans="3:8" x14ac:dyDescent="0.2">
      <c r="H45" t="s">
        <v>91</v>
      </c>
    </row>
    <row r="46" spans="3:8" x14ac:dyDescent="0.2">
      <c r="H46" t="s">
        <v>92</v>
      </c>
    </row>
    <row r="47" spans="3:8" x14ac:dyDescent="0.2">
      <c r="H47" t="s">
        <v>93</v>
      </c>
    </row>
    <row r="48" spans="3:8" x14ac:dyDescent="0.2">
      <c r="H48" t="s">
        <v>94</v>
      </c>
    </row>
    <row r="49" spans="8:8" x14ac:dyDescent="0.2">
      <c r="H49" t="s">
        <v>95</v>
      </c>
    </row>
    <row r="50" spans="8:8" x14ac:dyDescent="0.2">
      <c r="H50" t="s">
        <v>96</v>
      </c>
    </row>
    <row r="51" spans="8:8" x14ac:dyDescent="0.2">
      <c r="H51" t="s">
        <v>97</v>
      </c>
    </row>
    <row r="52" spans="8:8" x14ac:dyDescent="0.2">
      <c r="H52" t="s">
        <v>98</v>
      </c>
    </row>
    <row r="53" spans="8:8" x14ac:dyDescent="0.2">
      <c r="H53" t="s">
        <v>99</v>
      </c>
    </row>
    <row r="54" spans="8:8" x14ac:dyDescent="0.2">
      <c r="H54" t="s">
        <v>100</v>
      </c>
    </row>
    <row r="55" spans="8:8" x14ac:dyDescent="0.2">
      <c r="H55" t="s">
        <v>101</v>
      </c>
    </row>
    <row r="56" spans="8:8" x14ac:dyDescent="0.2">
      <c r="H56" t="s">
        <v>102</v>
      </c>
    </row>
    <row r="57" spans="8:8" x14ac:dyDescent="0.2">
      <c r="H57" t="s">
        <v>103</v>
      </c>
    </row>
    <row r="58" spans="8:8" x14ac:dyDescent="0.2">
      <c r="H58" t="s">
        <v>104</v>
      </c>
    </row>
    <row r="59" spans="8:8" x14ac:dyDescent="0.2">
      <c r="H59" t="s">
        <v>105</v>
      </c>
    </row>
    <row r="60" spans="8:8" x14ac:dyDescent="0.2">
      <c r="H60" t="s">
        <v>108</v>
      </c>
    </row>
  </sheetData>
  <sheetProtection algorithmName="SHA-512" hashValue="ScXXwUm6LsPpEyHRoBwLkuC+WzdX9ZgfhqGIiauHH9Svgp2jHMKLpNRQ8Xgt42bObADFYVtY9V7HfOD08cvX/A==" saltValue="24SadfB0BIIZEqJ2tIaXzw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C4:S78"/>
  <sheetViews>
    <sheetView topLeftCell="A16" workbookViewId="0">
      <selection activeCell="L27" sqref="L27"/>
    </sheetView>
  </sheetViews>
  <sheetFormatPr defaultRowHeight="12.75" x14ac:dyDescent="0.2"/>
  <cols>
    <col min="3" max="3" width="7.7109375" bestFit="1" customWidth="1"/>
    <col min="4" max="4" width="15" bestFit="1" customWidth="1"/>
    <col min="5" max="5" width="15.85546875" bestFit="1" customWidth="1"/>
    <col min="6" max="6" width="15" customWidth="1"/>
    <col min="7" max="7" width="23.42578125" bestFit="1" customWidth="1"/>
    <col min="10" max="10" width="4.28515625" bestFit="1" customWidth="1"/>
    <col min="11" max="11" width="18.140625" bestFit="1" customWidth="1"/>
    <col min="12" max="12" width="26.5703125" bestFit="1" customWidth="1"/>
    <col min="13" max="13" width="40.28515625" bestFit="1" customWidth="1"/>
    <col min="14" max="14" width="9" customWidth="1"/>
    <col min="15" max="15" width="6" bestFit="1" customWidth="1"/>
    <col min="18" max="18" width="13.42578125" bestFit="1" customWidth="1"/>
    <col min="19" max="19" width="10.7109375" bestFit="1" customWidth="1"/>
  </cols>
  <sheetData>
    <row r="4" spans="3:19" ht="18.75" customHeight="1" x14ac:dyDescent="0.2">
      <c r="C4" t="s">
        <v>56</v>
      </c>
      <c r="D4" t="s">
        <v>57</v>
      </c>
      <c r="E4" t="s">
        <v>202</v>
      </c>
      <c r="F4" t="s">
        <v>206</v>
      </c>
      <c r="G4" t="s">
        <v>85</v>
      </c>
      <c r="H4" t="s">
        <v>107</v>
      </c>
      <c r="I4" t="s">
        <v>106</v>
      </c>
      <c r="J4" s="64" t="s">
        <v>112</v>
      </c>
      <c r="K4" t="s">
        <v>86</v>
      </c>
      <c r="L4" t="s">
        <v>287</v>
      </c>
      <c r="M4" s="22" t="s">
        <v>44</v>
      </c>
      <c r="N4" s="22">
        <v>0</v>
      </c>
      <c r="O4" s="22" t="s">
        <v>45</v>
      </c>
      <c r="R4" t="s">
        <v>113</v>
      </c>
      <c r="S4" t="s">
        <v>114</v>
      </c>
    </row>
    <row r="5" spans="3:19" ht="18.75" customHeight="1" x14ac:dyDescent="0.2">
      <c r="C5" s="64">
        <v>16</v>
      </c>
      <c r="D5" t="s">
        <v>58</v>
      </c>
      <c r="E5" t="s">
        <v>198</v>
      </c>
      <c r="F5" t="s">
        <v>205</v>
      </c>
      <c r="G5" t="s">
        <v>62</v>
      </c>
      <c r="H5" t="s">
        <v>91</v>
      </c>
      <c r="I5" t="s">
        <v>109</v>
      </c>
      <c r="J5" s="64">
        <v>200</v>
      </c>
      <c r="K5" s="22" t="s">
        <v>186</v>
      </c>
      <c r="L5" s="22" t="s">
        <v>189</v>
      </c>
      <c r="M5" s="22" t="s">
        <v>20</v>
      </c>
      <c r="N5" s="22">
        <v>1350</v>
      </c>
      <c r="O5" s="22" t="s">
        <v>46</v>
      </c>
      <c r="Q5" s="22" t="s">
        <v>211</v>
      </c>
    </row>
    <row r="6" spans="3:19" x14ac:dyDescent="0.2">
      <c r="C6" s="64">
        <v>19</v>
      </c>
      <c r="D6" t="s">
        <v>59</v>
      </c>
      <c r="E6" t="s">
        <v>199</v>
      </c>
      <c r="F6" t="s">
        <v>207</v>
      </c>
      <c r="G6" t="s">
        <v>63</v>
      </c>
      <c r="H6" t="s">
        <v>92</v>
      </c>
      <c r="I6" t="s">
        <v>109</v>
      </c>
      <c r="J6" s="64">
        <v>200</v>
      </c>
      <c r="K6" s="22" t="s">
        <v>193</v>
      </c>
      <c r="L6" s="22" t="s">
        <v>190</v>
      </c>
      <c r="M6" s="22" t="s">
        <v>21</v>
      </c>
      <c r="N6" s="22">
        <v>1430</v>
      </c>
      <c r="O6" s="22" t="s">
        <v>47</v>
      </c>
      <c r="Q6" s="22" t="s">
        <v>210</v>
      </c>
    </row>
    <row r="7" spans="3:19" x14ac:dyDescent="0.2">
      <c r="C7" t="s">
        <v>197</v>
      </c>
      <c r="D7" t="s">
        <v>60</v>
      </c>
      <c r="E7" t="s">
        <v>200</v>
      </c>
      <c r="F7" t="s">
        <v>208</v>
      </c>
      <c r="G7" t="s">
        <v>64</v>
      </c>
      <c r="H7" t="s">
        <v>93</v>
      </c>
      <c r="I7" t="s">
        <v>110</v>
      </c>
      <c r="J7" s="64">
        <v>200</v>
      </c>
      <c r="K7" s="22" t="s">
        <v>52</v>
      </c>
      <c r="L7" s="22" t="s">
        <v>51</v>
      </c>
      <c r="M7" s="22" t="s">
        <v>22</v>
      </c>
      <c r="N7" s="22">
        <v>1570</v>
      </c>
      <c r="O7" s="22" t="s">
        <v>48</v>
      </c>
    </row>
    <row r="8" spans="3:19" x14ac:dyDescent="0.2">
      <c r="C8" s="64"/>
      <c r="D8" t="s">
        <v>61</v>
      </c>
      <c r="E8" t="s">
        <v>201</v>
      </c>
      <c r="F8" t="s">
        <v>209</v>
      </c>
      <c r="G8" t="s">
        <v>66</v>
      </c>
      <c r="H8" t="s">
        <v>94</v>
      </c>
      <c r="I8" t="s">
        <v>110</v>
      </c>
      <c r="J8" s="64">
        <v>200</v>
      </c>
      <c r="K8" s="22" t="s">
        <v>187</v>
      </c>
      <c r="L8" s="22" t="s">
        <v>280</v>
      </c>
      <c r="M8" s="22" t="s">
        <v>23</v>
      </c>
      <c r="N8" s="22">
        <v>1650</v>
      </c>
      <c r="O8" s="22" t="s">
        <v>49</v>
      </c>
    </row>
    <row r="9" spans="3:19" x14ac:dyDescent="0.2">
      <c r="G9" t="s">
        <v>65</v>
      </c>
      <c r="H9" t="s">
        <v>95</v>
      </c>
      <c r="I9" t="s">
        <v>110</v>
      </c>
      <c r="J9" s="64">
        <v>200</v>
      </c>
      <c r="K9" s="22" t="s">
        <v>194</v>
      </c>
      <c r="L9" s="22" t="s">
        <v>281</v>
      </c>
      <c r="M9" s="22" t="s">
        <v>26</v>
      </c>
      <c r="N9" s="22">
        <v>1410</v>
      </c>
      <c r="O9" s="22" t="s">
        <v>50</v>
      </c>
    </row>
    <row r="10" spans="3:19" ht="15" customHeight="1" x14ac:dyDescent="0.2">
      <c r="G10" t="s">
        <v>184</v>
      </c>
      <c r="H10" t="s">
        <v>96</v>
      </c>
      <c r="I10" t="s">
        <v>110</v>
      </c>
      <c r="J10" s="64">
        <v>200</v>
      </c>
      <c r="K10" s="22" t="s">
        <v>195</v>
      </c>
      <c r="L10" s="22" t="s">
        <v>293</v>
      </c>
      <c r="M10" s="22" t="s">
        <v>27</v>
      </c>
      <c r="N10" s="22">
        <v>1490</v>
      </c>
      <c r="O10" t="s">
        <v>53</v>
      </c>
    </row>
    <row r="11" spans="3:19" ht="15" customHeight="1" x14ac:dyDescent="0.2">
      <c r="H11" t="s">
        <v>97</v>
      </c>
      <c r="I11" t="s">
        <v>110</v>
      </c>
      <c r="J11" s="64">
        <v>200</v>
      </c>
      <c r="K11" s="22" t="s">
        <v>191</v>
      </c>
      <c r="L11" s="22" t="s">
        <v>288</v>
      </c>
      <c r="M11" t="s">
        <v>28</v>
      </c>
      <c r="N11">
        <v>1980</v>
      </c>
    </row>
    <row r="12" spans="3:19" ht="15" customHeight="1" x14ac:dyDescent="0.2">
      <c r="H12" t="s">
        <v>98</v>
      </c>
      <c r="I12" t="s">
        <v>109</v>
      </c>
      <c r="J12" s="64">
        <v>200</v>
      </c>
      <c r="K12" s="22" t="s">
        <v>192</v>
      </c>
      <c r="L12" s="22" t="s">
        <v>299</v>
      </c>
      <c r="M12" t="s">
        <v>29</v>
      </c>
      <c r="N12">
        <v>2060</v>
      </c>
    </row>
    <row r="13" spans="3:19" ht="15" customHeight="1" x14ac:dyDescent="0.2">
      <c r="H13" t="s">
        <v>99</v>
      </c>
      <c r="I13" t="s">
        <v>111</v>
      </c>
      <c r="J13" s="64">
        <v>200</v>
      </c>
      <c r="K13" s="22" t="s">
        <v>365</v>
      </c>
      <c r="L13" s="22" t="s">
        <v>298</v>
      </c>
      <c r="M13" t="s">
        <v>30</v>
      </c>
      <c r="N13">
        <v>1980</v>
      </c>
    </row>
    <row r="14" spans="3:19" ht="15" customHeight="1" x14ac:dyDescent="0.2">
      <c r="H14" t="s">
        <v>100</v>
      </c>
      <c r="I14" t="s">
        <v>111</v>
      </c>
      <c r="J14" s="64">
        <v>200</v>
      </c>
      <c r="K14" s="22" t="s">
        <v>317</v>
      </c>
      <c r="L14" s="22" t="s">
        <v>297</v>
      </c>
      <c r="M14" t="s">
        <v>31</v>
      </c>
      <c r="N14">
        <v>2060</v>
      </c>
    </row>
    <row r="15" spans="3:19" ht="15" customHeight="1" x14ac:dyDescent="0.2">
      <c r="H15" t="s">
        <v>101</v>
      </c>
      <c r="I15" t="s">
        <v>111</v>
      </c>
      <c r="J15" s="64">
        <v>200</v>
      </c>
      <c r="K15" s="22" t="s">
        <v>188</v>
      </c>
      <c r="L15" s="22" t="s">
        <v>296</v>
      </c>
      <c r="M15" t="s">
        <v>44</v>
      </c>
      <c r="N15">
        <v>0</v>
      </c>
    </row>
    <row r="16" spans="3:19" ht="15" customHeight="1" x14ac:dyDescent="0.2">
      <c r="H16" t="s">
        <v>102</v>
      </c>
      <c r="I16" t="s">
        <v>109</v>
      </c>
      <c r="J16" s="64">
        <v>200</v>
      </c>
      <c r="K16" s="22" t="s">
        <v>196</v>
      </c>
      <c r="L16" s="22" t="s">
        <v>185</v>
      </c>
      <c r="M16" t="s">
        <v>39</v>
      </c>
      <c r="N16">
        <v>3680</v>
      </c>
    </row>
    <row r="17" spans="3:14" x14ac:dyDescent="0.2">
      <c r="H17" t="s">
        <v>103</v>
      </c>
      <c r="I17" t="s">
        <v>111</v>
      </c>
      <c r="J17" s="64">
        <v>200</v>
      </c>
      <c r="L17" s="22" t="s">
        <v>86</v>
      </c>
      <c r="M17" t="s">
        <v>38</v>
      </c>
      <c r="N17">
        <v>3810</v>
      </c>
    </row>
    <row r="18" spans="3:14" x14ac:dyDescent="0.2">
      <c r="H18" t="s">
        <v>104</v>
      </c>
      <c r="I18" t="s">
        <v>111</v>
      </c>
      <c r="J18" s="64">
        <v>200</v>
      </c>
      <c r="L18" s="22"/>
      <c r="M18" t="s">
        <v>37</v>
      </c>
      <c r="N18">
        <v>3900</v>
      </c>
    </row>
    <row r="19" spans="3:14" x14ac:dyDescent="0.2">
      <c r="H19" t="s">
        <v>105</v>
      </c>
      <c r="I19" t="s">
        <v>111</v>
      </c>
      <c r="J19" s="64">
        <v>200</v>
      </c>
      <c r="M19" t="s">
        <v>36</v>
      </c>
      <c r="N19">
        <v>4030</v>
      </c>
    </row>
    <row r="20" spans="3:14" x14ac:dyDescent="0.2">
      <c r="H20" t="s">
        <v>108</v>
      </c>
      <c r="I20" t="s">
        <v>109</v>
      </c>
      <c r="J20" s="64">
        <v>190</v>
      </c>
      <c r="M20" s="22" t="s">
        <v>34</v>
      </c>
      <c r="N20">
        <v>3740</v>
      </c>
    </row>
    <row r="21" spans="3:14" x14ac:dyDescent="0.2">
      <c r="M21" s="22" t="s">
        <v>35</v>
      </c>
      <c r="N21">
        <v>3870</v>
      </c>
    </row>
    <row r="22" spans="3:14" x14ac:dyDescent="0.2">
      <c r="M22" t="s">
        <v>40</v>
      </c>
      <c r="N22">
        <v>4310</v>
      </c>
    </row>
    <row r="23" spans="3:14" x14ac:dyDescent="0.2">
      <c r="M23" t="s">
        <v>41</v>
      </c>
      <c r="N23">
        <v>4440</v>
      </c>
    </row>
    <row r="24" spans="3:14" x14ac:dyDescent="0.2">
      <c r="M24" t="s">
        <v>42</v>
      </c>
      <c r="N24">
        <v>4310</v>
      </c>
    </row>
    <row r="25" spans="3:14" x14ac:dyDescent="0.2">
      <c r="M25" t="s">
        <v>43</v>
      </c>
      <c r="N25">
        <v>4440</v>
      </c>
    </row>
    <row r="31" spans="3:14" x14ac:dyDescent="0.2">
      <c r="C31" t="s">
        <v>262</v>
      </c>
      <c r="D31" t="s">
        <v>263</v>
      </c>
      <c r="E31" t="s">
        <v>264</v>
      </c>
      <c r="F31" t="s">
        <v>265</v>
      </c>
      <c r="G31" t="s">
        <v>266</v>
      </c>
      <c r="H31" t="s">
        <v>267</v>
      </c>
      <c r="M31" s="64" t="s">
        <v>284</v>
      </c>
      <c r="N31" s="64" t="s">
        <v>285</v>
      </c>
    </row>
    <row r="32" spans="3:14" x14ac:dyDescent="0.2">
      <c r="G32" t="s">
        <v>108</v>
      </c>
      <c r="H32" t="s">
        <v>91</v>
      </c>
      <c r="M32" s="64" t="s">
        <v>286</v>
      </c>
      <c r="N32" s="64"/>
    </row>
    <row r="33" spans="8:14" x14ac:dyDescent="0.2">
      <c r="H33" t="s">
        <v>92</v>
      </c>
      <c r="M33" s="64">
        <v>1</v>
      </c>
      <c r="N33" s="64">
        <v>2</v>
      </c>
    </row>
    <row r="34" spans="8:14" ht="51" x14ac:dyDescent="0.2">
      <c r="H34" t="s">
        <v>93</v>
      </c>
      <c r="K34" s="112" t="s">
        <v>289</v>
      </c>
      <c r="M34" s="64">
        <v>2</v>
      </c>
      <c r="N34" s="64">
        <v>2</v>
      </c>
    </row>
    <row r="35" spans="8:14" x14ac:dyDescent="0.2">
      <c r="H35" t="s">
        <v>94</v>
      </c>
      <c r="K35" t="s">
        <v>292</v>
      </c>
      <c r="M35" s="64">
        <v>3</v>
      </c>
      <c r="N35" s="64">
        <v>2</v>
      </c>
    </row>
    <row r="36" spans="8:14" x14ac:dyDescent="0.2">
      <c r="H36" t="s">
        <v>95</v>
      </c>
      <c r="K36" t="s">
        <v>290</v>
      </c>
      <c r="M36" s="64">
        <v>4</v>
      </c>
      <c r="N36" s="64">
        <v>2</v>
      </c>
    </row>
    <row r="37" spans="8:14" x14ac:dyDescent="0.2">
      <c r="H37" t="s">
        <v>96</v>
      </c>
      <c r="K37" t="s">
        <v>291</v>
      </c>
      <c r="M37" s="64">
        <v>5</v>
      </c>
      <c r="N37" s="64">
        <v>2</v>
      </c>
    </row>
    <row r="38" spans="8:14" x14ac:dyDescent="0.2">
      <c r="H38" t="s">
        <v>97</v>
      </c>
      <c r="M38" s="64">
        <v>6</v>
      </c>
      <c r="N38" s="64">
        <v>1</v>
      </c>
    </row>
    <row r="39" spans="8:14" x14ac:dyDescent="0.2">
      <c r="H39" t="s">
        <v>98</v>
      </c>
      <c r="M39" s="64">
        <v>7</v>
      </c>
      <c r="N39" s="64">
        <v>1</v>
      </c>
    </row>
    <row r="40" spans="8:14" x14ac:dyDescent="0.2">
      <c r="H40" t="s">
        <v>99</v>
      </c>
      <c r="M40" s="64">
        <v>8</v>
      </c>
      <c r="N40" s="64">
        <v>1</v>
      </c>
    </row>
    <row r="41" spans="8:14" x14ac:dyDescent="0.2">
      <c r="H41" t="s">
        <v>100</v>
      </c>
      <c r="M41" s="64">
        <v>9</v>
      </c>
      <c r="N41" s="64">
        <v>1</v>
      </c>
    </row>
    <row r="42" spans="8:14" x14ac:dyDescent="0.2">
      <c r="H42" t="s">
        <v>101</v>
      </c>
      <c r="M42" s="64">
        <v>10</v>
      </c>
      <c r="N42" s="64">
        <v>2</v>
      </c>
    </row>
    <row r="43" spans="8:14" x14ac:dyDescent="0.2">
      <c r="H43" t="s">
        <v>102</v>
      </c>
      <c r="M43" s="64">
        <v>11</v>
      </c>
      <c r="N43" s="64">
        <v>2</v>
      </c>
    </row>
    <row r="44" spans="8:14" x14ac:dyDescent="0.2">
      <c r="H44" t="s">
        <v>103</v>
      </c>
      <c r="M44" s="64">
        <v>12</v>
      </c>
      <c r="N44" s="64">
        <v>2</v>
      </c>
    </row>
    <row r="45" spans="8:14" x14ac:dyDescent="0.2">
      <c r="H45" t="s">
        <v>104</v>
      </c>
      <c r="M45" s="64">
        <v>13</v>
      </c>
      <c r="N45" s="64">
        <v>2</v>
      </c>
    </row>
    <row r="46" spans="8:14" x14ac:dyDescent="0.2">
      <c r="H46" t="s">
        <v>105</v>
      </c>
      <c r="M46" s="64">
        <v>14</v>
      </c>
      <c r="N46" s="64">
        <v>1</v>
      </c>
    </row>
    <row r="47" spans="8:14" x14ac:dyDescent="0.2">
      <c r="H47" t="s">
        <v>108</v>
      </c>
      <c r="M47" s="64">
        <v>15</v>
      </c>
      <c r="N47" s="64">
        <v>2</v>
      </c>
    </row>
    <row r="48" spans="8:14" x14ac:dyDescent="0.2">
      <c r="M48" s="64">
        <v>16</v>
      </c>
      <c r="N48" s="64">
        <v>2</v>
      </c>
    </row>
    <row r="49" spans="13:14" x14ac:dyDescent="0.2">
      <c r="M49" s="64">
        <v>17</v>
      </c>
      <c r="N49" s="64">
        <v>2</v>
      </c>
    </row>
    <row r="50" spans="13:14" x14ac:dyDescent="0.2">
      <c r="M50" s="64">
        <v>18</v>
      </c>
      <c r="N50" s="64">
        <v>2</v>
      </c>
    </row>
    <row r="51" spans="13:14" x14ac:dyDescent="0.2">
      <c r="M51" s="64">
        <v>19</v>
      </c>
      <c r="N51" s="64">
        <v>2</v>
      </c>
    </row>
    <row r="52" spans="13:14" x14ac:dyDescent="0.2">
      <c r="M52" s="64">
        <v>20</v>
      </c>
      <c r="N52" s="64">
        <v>1</v>
      </c>
    </row>
    <row r="53" spans="13:14" x14ac:dyDescent="0.2">
      <c r="M53" s="64">
        <v>21</v>
      </c>
      <c r="N53" s="64">
        <v>2</v>
      </c>
    </row>
    <row r="54" spans="13:14" x14ac:dyDescent="0.2">
      <c r="M54" s="64">
        <v>22</v>
      </c>
      <c r="N54" s="64">
        <v>2</v>
      </c>
    </row>
    <row r="55" spans="13:14" x14ac:dyDescent="0.2">
      <c r="M55" s="64">
        <v>23</v>
      </c>
      <c r="N55" s="64">
        <v>2</v>
      </c>
    </row>
    <row r="56" spans="13:14" x14ac:dyDescent="0.2">
      <c r="M56" s="64">
        <v>24</v>
      </c>
      <c r="N56" s="64">
        <v>2</v>
      </c>
    </row>
    <row r="57" spans="13:14" x14ac:dyDescent="0.2">
      <c r="M57" s="64">
        <v>25</v>
      </c>
      <c r="N57" s="64">
        <v>2</v>
      </c>
    </row>
    <row r="58" spans="13:14" x14ac:dyDescent="0.2">
      <c r="M58" s="64">
        <v>26</v>
      </c>
      <c r="N58" s="64">
        <v>2</v>
      </c>
    </row>
    <row r="59" spans="13:14" x14ac:dyDescent="0.2">
      <c r="M59" s="64">
        <v>27</v>
      </c>
      <c r="N59" s="64">
        <v>2</v>
      </c>
    </row>
    <row r="60" spans="13:14" x14ac:dyDescent="0.2">
      <c r="M60" s="64">
        <v>28</v>
      </c>
      <c r="N60" s="64">
        <v>2</v>
      </c>
    </row>
    <row r="61" spans="13:14" x14ac:dyDescent="0.2">
      <c r="M61" s="64">
        <v>29</v>
      </c>
      <c r="N61" s="64">
        <v>2</v>
      </c>
    </row>
    <row r="62" spans="13:14" x14ac:dyDescent="0.2">
      <c r="M62" s="64">
        <v>30</v>
      </c>
      <c r="N62" s="64">
        <v>2</v>
      </c>
    </row>
    <row r="63" spans="13:14" x14ac:dyDescent="0.2">
      <c r="M63" s="64">
        <v>31</v>
      </c>
      <c r="N63" s="64">
        <v>2</v>
      </c>
    </row>
    <row r="64" spans="13:14" x14ac:dyDescent="0.2">
      <c r="M64" s="64">
        <v>32</v>
      </c>
      <c r="N64" s="64">
        <v>2</v>
      </c>
    </row>
    <row r="65" spans="13:14" x14ac:dyDescent="0.2">
      <c r="M65" s="64">
        <v>33</v>
      </c>
      <c r="N65" s="64">
        <v>1</v>
      </c>
    </row>
    <row r="66" spans="13:14" x14ac:dyDescent="0.2">
      <c r="M66" s="64">
        <v>34</v>
      </c>
      <c r="N66" s="64">
        <v>1</v>
      </c>
    </row>
    <row r="67" spans="13:14" x14ac:dyDescent="0.2">
      <c r="M67" s="64">
        <v>35</v>
      </c>
      <c r="N67" s="64">
        <v>2</v>
      </c>
    </row>
    <row r="68" spans="13:14" x14ac:dyDescent="0.2">
      <c r="M68" s="64">
        <v>36</v>
      </c>
      <c r="N68" s="64">
        <v>2</v>
      </c>
    </row>
    <row r="69" spans="13:14" x14ac:dyDescent="0.2">
      <c r="M69" s="64">
        <v>37</v>
      </c>
      <c r="N69" s="64">
        <v>1</v>
      </c>
    </row>
    <row r="70" spans="13:14" x14ac:dyDescent="0.2">
      <c r="M70" s="64">
        <v>38</v>
      </c>
      <c r="N70" s="64">
        <v>2</v>
      </c>
    </row>
    <row r="71" spans="13:14" x14ac:dyDescent="0.2">
      <c r="M71" s="64">
        <v>39</v>
      </c>
      <c r="N71" s="64">
        <v>2</v>
      </c>
    </row>
    <row r="72" spans="13:14" x14ac:dyDescent="0.2">
      <c r="M72" s="64">
        <v>40</v>
      </c>
      <c r="N72" s="64">
        <v>2</v>
      </c>
    </row>
    <row r="73" spans="13:14" x14ac:dyDescent="0.2">
      <c r="M73" s="64">
        <v>41</v>
      </c>
      <c r="N73" s="64">
        <v>2</v>
      </c>
    </row>
    <row r="74" spans="13:14" x14ac:dyDescent="0.2">
      <c r="M74" s="64">
        <v>42</v>
      </c>
      <c r="N74" s="64">
        <v>2</v>
      </c>
    </row>
    <row r="75" spans="13:14" x14ac:dyDescent="0.2">
      <c r="M75" s="64">
        <v>43</v>
      </c>
      <c r="N75" s="64">
        <v>2</v>
      </c>
    </row>
    <row r="76" spans="13:14" x14ac:dyDescent="0.2">
      <c r="M76" s="64">
        <v>44</v>
      </c>
      <c r="N76" s="64">
        <v>2</v>
      </c>
    </row>
    <row r="77" spans="13:14" x14ac:dyDescent="0.2">
      <c r="M77" s="64">
        <v>45</v>
      </c>
      <c r="N77" s="64">
        <v>2</v>
      </c>
    </row>
    <row r="78" spans="13:14" x14ac:dyDescent="0.2">
      <c r="M78" s="64">
        <v>46</v>
      </c>
      <c r="N78" s="64">
        <v>2</v>
      </c>
    </row>
  </sheetData>
  <sheetProtection algorithmName="SHA-512" hashValue="iT5DKpeld5JsIy43fmbkGZ5/CJmYtlBlo6SHwUhp1IobPUp9K1IWfaxSVj8Kjse3emKEyFNmmsidlq96H6MKgg==" saltValue="UNKJnT8DSmRrALU4r9MfhQ==" spinCount="100000" sheet="1" objects="1" scenarios="1"/>
  <pageMargins left="0.7" right="0.7" top="0.75" bottom="0.75" header="0.3" footer="0.3"/>
  <pageSetup paperSize="9"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4:O71"/>
  <sheetViews>
    <sheetView topLeftCell="A25" workbookViewId="0">
      <selection activeCell="J46" sqref="J46"/>
    </sheetView>
  </sheetViews>
  <sheetFormatPr defaultRowHeight="12.75" x14ac:dyDescent="0.2"/>
  <cols>
    <col min="2" max="2" width="3" bestFit="1" customWidth="1"/>
    <col min="3" max="3" width="73.140625" customWidth="1"/>
    <col min="4" max="8" width="16.28515625" customWidth="1"/>
    <col min="9" max="13" width="10.28515625" customWidth="1"/>
  </cols>
  <sheetData>
    <row r="4" spans="2:15" ht="18" x14ac:dyDescent="0.25">
      <c r="B4" s="321" t="s">
        <v>115</v>
      </c>
      <c r="C4" s="321"/>
      <c r="D4" s="321"/>
      <c r="E4" s="321"/>
      <c r="F4" s="321"/>
      <c r="G4" s="321"/>
      <c r="O4" t="str">
        <f>IF($L4="","",IF(OR($L4="J № 1",$L4="J № 2",$L4="J № 2L",$L4="J № 2R"),$M4*Наименования!$J5*Прайс!$D$46,IF(OR($L4="J № 3",$L4="J № 4",$L4="J № 5",$L4="J № 6",$L4="J № 7"),Наименования!$J$7*Прайс!$D$47,IF(OR($L4="J № 3L",$L4="J № 3R",$L4="J № 4L",$L4="J № 4R",$L4="J № 5L",$L4="J № 5R"),$M4/2*Прайс!$D$46*$E4,IF($L4="45 град.",$M4*Прайс!$D$45*$E4,0)))))</f>
        <v/>
      </c>
    </row>
    <row r="5" spans="2:15" ht="18" x14ac:dyDescent="0.25">
      <c r="B5" s="321" t="s">
        <v>116</v>
      </c>
      <c r="C5" s="321"/>
      <c r="D5" s="321"/>
      <c r="E5" s="321"/>
      <c r="F5" s="321"/>
      <c r="G5" s="321"/>
    </row>
    <row r="6" spans="2:15" x14ac:dyDescent="0.2">
      <c r="B6" s="2"/>
      <c r="C6" s="2"/>
      <c r="D6" s="2"/>
      <c r="E6" s="2"/>
      <c r="F6" s="2"/>
      <c r="G6" s="2"/>
    </row>
    <row r="7" spans="2:15" x14ac:dyDescent="0.2">
      <c r="B7" s="2"/>
      <c r="C7" s="22" t="s">
        <v>117</v>
      </c>
      <c r="D7" s="2"/>
      <c r="E7" s="2"/>
      <c r="F7" s="2"/>
      <c r="G7" s="65">
        <v>44875</v>
      </c>
    </row>
    <row r="8" spans="2:15" x14ac:dyDescent="0.2">
      <c r="B8" s="2"/>
      <c r="C8" s="2"/>
      <c r="D8" s="2"/>
      <c r="E8" s="2"/>
      <c r="F8" s="2"/>
      <c r="G8" s="2"/>
    </row>
    <row r="9" spans="2:15" ht="85.5" x14ac:dyDescent="0.2">
      <c r="B9" s="239"/>
      <c r="C9" s="322" t="s">
        <v>118</v>
      </c>
      <c r="D9" s="323"/>
      <c r="E9" s="324"/>
      <c r="F9" s="240" t="s">
        <v>119</v>
      </c>
      <c r="G9" s="240" t="s">
        <v>120</v>
      </c>
      <c r="H9" s="240" t="s">
        <v>121</v>
      </c>
      <c r="I9" s="241" t="s">
        <v>122</v>
      </c>
    </row>
    <row r="10" spans="2:15" ht="14.25" x14ac:dyDescent="0.2">
      <c r="B10" s="242">
        <v>1</v>
      </c>
      <c r="C10" s="319" t="s">
        <v>346</v>
      </c>
      <c r="D10" s="319"/>
      <c r="E10" s="319"/>
      <c r="F10" s="243">
        <v>2550</v>
      </c>
      <c r="G10" s="243">
        <v>2620</v>
      </c>
      <c r="H10" s="243">
        <v>4370</v>
      </c>
      <c r="I10" s="243">
        <v>4440</v>
      </c>
    </row>
    <row r="11" spans="2:15" ht="14.25" x14ac:dyDescent="0.2">
      <c r="B11" s="242">
        <v>2</v>
      </c>
      <c r="C11" s="319" t="s">
        <v>123</v>
      </c>
      <c r="D11" s="319"/>
      <c r="E11" s="319"/>
      <c r="F11" s="243">
        <v>2550</v>
      </c>
      <c r="G11" s="243">
        <v>2620</v>
      </c>
      <c r="H11" s="243">
        <v>4370</v>
      </c>
      <c r="I11" s="243">
        <v>4440</v>
      </c>
    </row>
    <row r="12" spans="2:15" ht="14.25" x14ac:dyDescent="0.2">
      <c r="B12" s="242">
        <v>3</v>
      </c>
      <c r="C12" s="319" t="s">
        <v>347</v>
      </c>
      <c r="D12" s="319"/>
      <c r="E12" s="319"/>
      <c r="F12" s="243">
        <v>3040</v>
      </c>
      <c r="G12" s="243">
        <v>3110</v>
      </c>
      <c r="H12" s="243">
        <v>4860</v>
      </c>
      <c r="I12" s="243">
        <v>4930</v>
      </c>
    </row>
    <row r="13" spans="2:15" ht="14.25" x14ac:dyDescent="0.2">
      <c r="B13" s="242">
        <v>4</v>
      </c>
      <c r="C13" s="320" t="s">
        <v>348</v>
      </c>
      <c r="D13" s="320"/>
      <c r="E13" s="320"/>
      <c r="F13" s="241">
        <v>3250</v>
      </c>
      <c r="G13" s="241">
        <v>3320</v>
      </c>
      <c r="H13" s="241">
        <v>5070</v>
      </c>
      <c r="I13" s="241">
        <v>5140</v>
      </c>
    </row>
    <row r="14" spans="2:15" ht="14.25" x14ac:dyDescent="0.2">
      <c r="B14" s="242">
        <v>5</v>
      </c>
      <c r="C14" s="320" t="s">
        <v>349</v>
      </c>
      <c r="D14" s="320"/>
      <c r="E14" s="320"/>
      <c r="F14" s="241">
        <v>3110</v>
      </c>
      <c r="G14" s="241">
        <v>3180</v>
      </c>
      <c r="H14" s="241">
        <v>4930</v>
      </c>
      <c r="I14" s="241">
        <v>5000</v>
      </c>
    </row>
    <row r="15" spans="2:15" ht="14.25" x14ac:dyDescent="0.2">
      <c r="B15" s="242">
        <v>6</v>
      </c>
      <c r="C15" s="316" t="s">
        <v>350</v>
      </c>
      <c r="D15" s="317"/>
      <c r="E15" s="318"/>
      <c r="F15" s="241">
        <v>3810</v>
      </c>
      <c r="G15" s="241">
        <v>3880</v>
      </c>
      <c r="H15" s="241">
        <v>5630</v>
      </c>
      <c r="I15" s="241">
        <v>5700</v>
      </c>
    </row>
    <row r="16" spans="2:15" ht="14.25" x14ac:dyDescent="0.2">
      <c r="B16" s="242">
        <v>7</v>
      </c>
      <c r="C16" s="316" t="s">
        <v>351</v>
      </c>
      <c r="D16" s="317"/>
      <c r="E16" s="318"/>
      <c r="F16" s="241">
        <v>3390</v>
      </c>
      <c r="G16" s="241">
        <v>3460</v>
      </c>
      <c r="H16" s="241">
        <v>5280</v>
      </c>
      <c r="I16" s="241">
        <v>5350</v>
      </c>
    </row>
    <row r="17" spans="2:9" ht="14.25" x14ac:dyDescent="0.2">
      <c r="B17" s="242">
        <v>8</v>
      </c>
      <c r="C17" s="316" t="s">
        <v>352</v>
      </c>
      <c r="D17" s="317"/>
      <c r="E17" s="318"/>
      <c r="F17" s="241">
        <v>3530</v>
      </c>
      <c r="G17" s="241">
        <v>3600</v>
      </c>
      <c r="H17" s="241">
        <v>5420</v>
      </c>
      <c r="I17" s="241">
        <v>5490</v>
      </c>
    </row>
    <row r="18" spans="2:9" ht="14.25" x14ac:dyDescent="0.2">
      <c r="B18" s="242">
        <v>9</v>
      </c>
      <c r="C18" s="316" t="s">
        <v>353</v>
      </c>
      <c r="D18" s="317"/>
      <c r="E18" s="318"/>
      <c r="F18" s="241">
        <v>3740</v>
      </c>
      <c r="G18" s="241">
        <v>3810</v>
      </c>
      <c r="H18" s="241">
        <v>5630</v>
      </c>
      <c r="I18" s="241">
        <v>5700</v>
      </c>
    </row>
    <row r="19" spans="2:9" ht="14.25" x14ac:dyDescent="0.2">
      <c r="B19" s="242">
        <v>10</v>
      </c>
      <c r="C19" s="325" t="s">
        <v>354</v>
      </c>
      <c r="D19" s="325"/>
      <c r="E19" s="325"/>
      <c r="F19" s="241">
        <v>4580</v>
      </c>
      <c r="G19" s="241">
        <v>4650</v>
      </c>
      <c r="H19" s="241">
        <v>6470</v>
      </c>
      <c r="I19" s="241">
        <v>6540</v>
      </c>
    </row>
    <row r="20" spans="2:9" ht="14.25" x14ac:dyDescent="0.2">
      <c r="B20" s="242">
        <v>11</v>
      </c>
      <c r="C20" s="325" t="s">
        <v>355</v>
      </c>
      <c r="D20" s="325"/>
      <c r="E20" s="325"/>
      <c r="F20" s="241">
        <v>5140</v>
      </c>
      <c r="G20" s="241">
        <v>5210</v>
      </c>
      <c r="H20" s="241">
        <v>7030</v>
      </c>
      <c r="I20" s="241">
        <v>7100</v>
      </c>
    </row>
    <row r="21" spans="2:9" ht="14.25" x14ac:dyDescent="0.2">
      <c r="B21" s="242">
        <v>12</v>
      </c>
      <c r="C21" s="320" t="s">
        <v>356</v>
      </c>
      <c r="D21" s="320"/>
      <c r="E21" s="320"/>
      <c r="F21" s="244">
        <v>5910</v>
      </c>
      <c r="G21" s="244">
        <v>5980</v>
      </c>
      <c r="H21" s="244" t="s">
        <v>328</v>
      </c>
      <c r="I21" s="244" t="s">
        <v>328</v>
      </c>
    </row>
    <row r="22" spans="2:9" x14ac:dyDescent="0.2">
      <c r="B22" s="149"/>
      <c r="C22" s="2"/>
      <c r="D22" s="63"/>
      <c r="E22" s="63"/>
      <c r="F22" s="63"/>
      <c r="G22" s="63"/>
    </row>
    <row r="23" spans="2:9" x14ac:dyDescent="0.2">
      <c r="B23" s="149"/>
      <c r="C23" s="2"/>
      <c r="D23" s="63"/>
      <c r="E23" s="63"/>
      <c r="F23" s="63"/>
      <c r="G23" s="63"/>
    </row>
    <row r="24" spans="2:9" ht="15" x14ac:dyDescent="0.25">
      <c r="B24" s="245"/>
      <c r="C24" s="246" t="s">
        <v>124</v>
      </c>
      <c r="D24" s="245"/>
      <c r="E24" s="245"/>
      <c r="F24" s="245"/>
      <c r="G24" s="63"/>
    </row>
    <row r="25" spans="2:9" x14ac:dyDescent="0.2">
      <c r="B25" s="247" t="s">
        <v>125</v>
      </c>
      <c r="C25" s="248" t="s">
        <v>357</v>
      </c>
      <c r="D25" s="245"/>
      <c r="E25" s="245"/>
      <c r="F25" s="245"/>
      <c r="G25" s="63"/>
    </row>
    <row r="26" spans="2:9" x14ac:dyDescent="0.2">
      <c r="B26" s="247" t="s">
        <v>127</v>
      </c>
      <c r="C26" s="249" t="s">
        <v>126</v>
      </c>
      <c r="D26" s="245"/>
      <c r="E26" s="245"/>
      <c r="F26" s="245"/>
      <c r="G26" s="63"/>
    </row>
    <row r="27" spans="2:9" x14ac:dyDescent="0.2">
      <c r="B27" s="247" t="s">
        <v>129</v>
      </c>
      <c r="C27" s="249" t="s">
        <v>358</v>
      </c>
      <c r="D27" s="245"/>
      <c r="E27" s="245"/>
      <c r="F27" s="245"/>
      <c r="G27" s="63"/>
    </row>
    <row r="28" spans="2:9" x14ac:dyDescent="0.2">
      <c r="B28" s="247" t="s">
        <v>130</v>
      </c>
      <c r="C28" s="249" t="s">
        <v>128</v>
      </c>
      <c r="D28" s="245"/>
      <c r="E28" s="245"/>
      <c r="F28" s="245"/>
      <c r="G28" s="63"/>
    </row>
    <row r="29" spans="2:9" x14ac:dyDescent="0.2">
      <c r="B29" s="247" t="s">
        <v>131</v>
      </c>
      <c r="C29" s="249" t="s">
        <v>359</v>
      </c>
      <c r="D29" s="245"/>
      <c r="E29" s="245"/>
      <c r="F29" s="245"/>
      <c r="G29" s="63"/>
    </row>
    <row r="30" spans="2:9" x14ac:dyDescent="0.2">
      <c r="B30" s="247" t="s">
        <v>132</v>
      </c>
      <c r="C30" s="249" t="s">
        <v>360</v>
      </c>
      <c r="D30" s="245"/>
      <c r="E30" s="245"/>
      <c r="F30" s="245"/>
      <c r="G30" s="63"/>
    </row>
    <row r="31" spans="2:9" x14ac:dyDescent="0.2">
      <c r="B31" s="247" t="s">
        <v>134</v>
      </c>
      <c r="C31" s="249" t="s">
        <v>361</v>
      </c>
      <c r="D31" s="245"/>
      <c r="E31" s="245"/>
      <c r="F31" s="245"/>
      <c r="G31" s="63"/>
    </row>
    <row r="32" spans="2:9" x14ac:dyDescent="0.2">
      <c r="B32" s="247" t="s">
        <v>362</v>
      </c>
      <c r="C32" s="249" t="s">
        <v>133</v>
      </c>
      <c r="D32" s="245"/>
      <c r="E32" s="245"/>
      <c r="F32" s="245"/>
      <c r="G32" s="63"/>
    </row>
    <row r="33" spans="2:7" x14ac:dyDescent="0.2">
      <c r="B33" s="247" t="s">
        <v>363</v>
      </c>
      <c r="C33" s="249" t="s">
        <v>364</v>
      </c>
      <c r="D33" s="245"/>
      <c r="E33" s="245"/>
      <c r="F33" s="245"/>
      <c r="G33" s="2"/>
    </row>
    <row r="34" spans="2:7" x14ac:dyDescent="0.2">
      <c r="B34" s="66"/>
      <c r="C34" s="22"/>
      <c r="D34" s="2"/>
      <c r="E34" s="2"/>
      <c r="F34" s="2"/>
      <c r="G34" s="2"/>
    </row>
    <row r="35" spans="2:7" x14ac:dyDescent="0.2">
      <c r="B35" s="2"/>
      <c r="C35" s="2"/>
      <c r="D35" s="2"/>
      <c r="E35" s="2"/>
      <c r="F35" s="2"/>
      <c r="G35" s="2"/>
    </row>
    <row r="36" spans="2:7" ht="15.75" x14ac:dyDescent="0.25">
      <c r="B36" s="326" t="s">
        <v>135</v>
      </c>
      <c r="C36" s="326"/>
      <c r="D36" s="326"/>
      <c r="E36" s="326"/>
      <c r="F36" s="326"/>
      <c r="G36" s="326"/>
    </row>
    <row r="37" spans="2:7" x14ac:dyDescent="0.2">
      <c r="B37" s="67">
        <v>1</v>
      </c>
      <c r="C37" s="68" t="s">
        <v>136</v>
      </c>
      <c r="D37" s="73">
        <v>-500</v>
      </c>
      <c r="E37" t="s">
        <v>166</v>
      </c>
      <c r="F37" s="2"/>
      <c r="G37" s="2"/>
    </row>
    <row r="38" spans="2:7" x14ac:dyDescent="0.2">
      <c r="B38" s="67">
        <v>2</v>
      </c>
      <c r="C38" s="68" t="s">
        <v>137</v>
      </c>
      <c r="D38" s="73">
        <v>-500</v>
      </c>
      <c r="E38" t="s">
        <v>166</v>
      </c>
      <c r="F38" s="2"/>
      <c r="G38" s="2"/>
    </row>
    <row r="39" spans="2:7" x14ac:dyDescent="0.2">
      <c r="B39" s="67">
        <v>3</v>
      </c>
      <c r="C39" s="68" t="s">
        <v>138</v>
      </c>
      <c r="D39" s="73">
        <v>160</v>
      </c>
      <c r="E39" t="s">
        <v>24</v>
      </c>
      <c r="F39" s="2"/>
      <c r="G39" s="2"/>
    </row>
    <row r="40" spans="2:7" s="22" customFormat="1" ht="25.5" x14ac:dyDescent="0.2">
      <c r="B40" s="69">
        <v>4</v>
      </c>
      <c r="C40" s="70" t="s">
        <v>139</v>
      </c>
      <c r="D40" s="73">
        <v>450</v>
      </c>
      <c r="E40" s="50" t="s">
        <v>167</v>
      </c>
      <c r="F40" s="73">
        <v>500</v>
      </c>
      <c r="G40" s="50" t="s">
        <v>168</v>
      </c>
    </row>
    <row r="41" spans="2:7" x14ac:dyDescent="0.2">
      <c r="B41" s="67">
        <v>5</v>
      </c>
      <c r="C41" s="68" t="s">
        <v>140</v>
      </c>
      <c r="D41" s="73">
        <v>300</v>
      </c>
      <c r="E41" t="s">
        <v>169</v>
      </c>
      <c r="F41" s="2"/>
      <c r="G41" s="2"/>
    </row>
    <row r="42" spans="2:7" x14ac:dyDescent="0.2">
      <c r="B42" s="67">
        <v>6</v>
      </c>
      <c r="C42" s="68" t="s">
        <v>141</v>
      </c>
      <c r="D42" s="73">
        <v>55</v>
      </c>
      <c r="E42" t="s">
        <v>169</v>
      </c>
      <c r="F42" s="2"/>
      <c r="G42" s="2"/>
    </row>
    <row r="43" spans="2:7" x14ac:dyDescent="0.2">
      <c r="B43" s="67">
        <v>7</v>
      </c>
      <c r="C43" s="68" t="s">
        <v>142</v>
      </c>
      <c r="D43" s="73">
        <v>600</v>
      </c>
      <c r="E43" t="s">
        <v>169</v>
      </c>
      <c r="F43" s="2"/>
      <c r="G43" s="2"/>
    </row>
    <row r="44" spans="2:7" x14ac:dyDescent="0.2">
      <c r="B44" s="67">
        <v>8</v>
      </c>
      <c r="C44" s="68" t="s">
        <v>143</v>
      </c>
      <c r="D44" s="73">
        <v>120</v>
      </c>
      <c r="E44" t="s">
        <v>169</v>
      </c>
      <c r="F44" s="2"/>
      <c r="G44" s="2"/>
    </row>
    <row r="45" spans="2:7" x14ac:dyDescent="0.2">
      <c r="B45" s="67">
        <v>9</v>
      </c>
      <c r="C45" s="68" t="s">
        <v>144</v>
      </c>
      <c r="D45" s="73">
        <v>190</v>
      </c>
      <c r="E45" t="s">
        <v>170</v>
      </c>
      <c r="F45" s="2"/>
      <c r="G45" s="2"/>
    </row>
    <row r="46" spans="2:7" x14ac:dyDescent="0.2">
      <c r="B46" s="67">
        <v>10</v>
      </c>
      <c r="C46" s="68" t="s">
        <v>145</v>
      </c>
      <c r="D46" s="73">
        <v>200</v>
      </c>
      <c r="E46" t="s">
        <v>170</v>
      </c>
      <c r="F46" s="2"/>
      <c r="G46" s="2"/>
    </row>
    <row r="47" spans="2:7" x14ac:dyDescent="0.2">
      <c r="B47" s="67">
        <v>11</v>
      </c>
      <c r="C47" s="68" t="s">
        <v>146</v>
      </c>
      <c r="D47" s="73">
        <v>200</v>
      </c>
      <c r="E47" t="s">
        <v>169</v>
      </c>
      <c r="F47" s="2"/>
      <c r="G47" s="2"/>
    </row>
    <row r="48" spans="2:7" x14ac:dyDescent="0.2">
      <c r="B48" s="67">
        <v>12</v>
      </c>
      <c r="C48" s="68" t="s">
        <v>147</v>
      </c>
      <c r="D48" s="73">
        <v>500</v>
      </c>
      <c r="E48" t="s">
        <v>169</v>
      </c>
      <c r="F48" s="2"/>
      <c r="G48" s="2"/>
    </row>
    <row r="49" spans="2:7" x14ac:dyDescent="0.2">
      <c r="B49" s="67">
        <v>13</v>
      </c>
      <c r="C49" s="68" t="s">
        <v>148</v>
      </c>
      <c r="D49" s="73">
        <v>25</v>
      </c>
      <c r="E49" t="s">
        <v>171</v>
      </c>
      <c r="F49" s="2"/>
      <c r="G49" s="2"/>
    </row>
    <row r="50" spans="2:7" x14ac:dyDescent="0.2">
      <c r="B50" s="67">
        <v>14</v>
      </c>
      <c r="C50" s="68" t="s">
        <v>149</v>
      </c>
      <c r="D50" s="73">
        <v>280</v>
      </c>
      <c r="E50" t="s">
        <v>169</v>
      </c>
      <c r="F50" s="2"/>
      <c r="G50" s="2"/>
    </row>
    <row r="51" spans="2:7" x14ac:dyDescent="0.2">
      <c r="B51" s="67">
        <v>15</v>
      </c>
      <c r="C51" s="68" t="s">
        <v>150</v>
      </c>
      <c r="D51" s="73">
        <v>600</v>
      </c>
      <c r="E51" t="s">
        <v>169</v>
      </c>
      <c r="F51" s="2"/>
      <c r="G51" s="2"/>
    </row>
    <row r="52" spans="2:7" ht="25.5" x14ac:dyDescent="0.2">
      <c r="B52" s="67">
        <v>16</v>
      </c>
      <c r="C52" s="70" t="s">
        <v>151</v>
      </c>
      <c r="D52" s="73">
        <v>700</v>
      </c>
      <c r="E52" s="77" t="s">
        <v>172</v>
      </c>
      <c r="F52" s="63"/>
      <c r="G52" s="50"/>
    </row>
    <row r="53" spans="2:7" x14ac:dyDescent="0.2">
      <c r="B53" s="67">
        <v>17</v>
      </c>
      <c r="C53" s="68" t="s">
        <v>152</v>
      </c>
      <c r="D53" s="74">
        <v>0.25</v>
      </c>
      <c r="E53" t="s">
        <v>173</v>
      </c>
      <c r="F53" s="2"/>
      <c r="G53" s="2"/>
    </row>
    <row r="54" spans="2:7" x14ac:dyDescent="0.2">
      <c r="B54" s="67">
        <v>18</v>
      </c>
      <c r="C54" s="68" t="s">
        <v>175</v>
      </c>
      <c r="D54" s="73">
        <v>50</v>
      </c>
      <c r="E54" t="s">
        <v>178</v>
      </c>
      <c r="F54" s="2"/>
      <c r="G54" s="2"/>
    </row>
    <row r="55" spans="2:7" x14ac:dyDescent="0.2">
      <c r="B55" s="67">
        <v>19</v>
      </c>
      <c r="C55" s="68" t="s">
        <v>176</v>
      </c>
      <c r="D55" s="73">
        <v>75</v>
      </c>
      <c r="E55" t="s">
        <v>178</v>
      </c>
      <c r="F55" s="2"/>
      <c r="G55" s="2"/>
    </row>
    <row r="56" spans="2:7" x14ac:dyDescent="0.2">
      <c r="B56" s="67">
        <v>20</v>
      </c>
      <c r="C56" s="68" t="s">
        <v>177</v>
      </c>
      <c r="D56" s="73">
        <v>140</v>
      </c>
      <c r="E56" t="s">
        <v>178</v>
      </c>
      <c r="F56" s="2"/>
      <c r="G56" s="2"/>
    </row>
    <row r="57" spans="2:7" x14ac:dyDescent="0.2">
      <c r="B57" s="67">
        <v>21</v>
      </c>
      <c r="C57" s="70" t="s">
        <v>153</v>
      </c>
      <c r="D57" s="73">
        <v>110</v>
      </c>
      <c r="E57" t="s">
        <v>178</v>
      </c>
      <c r="F57" s="50"/>
      <c r="G57" s="50"/>
    </row>
    <row r="58" spans="2:7" x14ac:dyDescent="0.2">
      <c r="B58" s="67">
        <v>22</v>
      </c>
      <c r="C58" s="70" t="s">
        <v>179</v>
      </c>
      <c r="D58" s="73">
        <v>190</v>
      </c>
      <c r="E58" t="s">
        <v>170</v>
      </c>
      <c r="F58" s="50"/>
      <c r="G58" s="50"/>
    </row>
    <row r="59" spans="2:7" x14ac:dyDescent="0.2">
      <c r="B59" s="67">
        <v>23</v>
      </c>
      <c r="C59" s="68" t="s">
        <v>154</v>
      </c>
      <c r="D59" s="73">
        <v>220</v>
      </c>
      <c r="E59" t="s">
        <v>180</v>
      </c>
      <c r="F59" s="50"/>
      <c r="G59" s="50"/>
    </row>
    <row r="60" spans="2:7" x14ac:dyDescent="0.2">
      <c r="B60" s="67">
        <v>24</v>
      </c>
      <c r="C60" s="68" t="s">
        <v>155</v>
      </c>
      <c r="D60" s="73">
        <v>380</v>
      </c>
      <c r="E60" t="s">
        <v>169</v>
      </c>
      <c r="F60" s="50"/>
      <c r="G60" s="50"/>
    </row>
    <row r="61" spans="2:7" x14ac:dyDescent="0.2">
      <c r="B61" s="67">
        <v>25</v>
      </c>
      <c r="C61" s="70" t="s">
        <v>156</v>
      </c>
      <c r="D61" s="73">
        <v>600</v>
      </c>
      <c r="E61" t="s">
        <v>24</v>
      </c>
      <c r="F61" s="50"/>
      <c r="G61" s="50"/>
    </row>
    <row r="62" spans="2:7" x14ac:dyDescent="0.2">
      <c r="B62" s="67">
        <v>26</v>
      </c>
      <c r="C62" s="70" t="s">
        <v>157</v>
      </c>
      <c r="D62" s="73">
        <v>315</v>
      </c>
      <c r="E62" t="s">
        <v>178</v>
      </c>
      <c r="F62" s="50"/>
      <c r="G62" s="50"/>
    </row>
    <row r="63" spans="2:7" x14ac:dyDescent="0.2">
      <c r="B63" s="67">
        <v>27</v>
      </c>
      <c r="C63" s="70" t="s">
        <v>158</v>
      </c>
      <c r="D63" s="73">
        <v>150</v>
      </c>
      <c r="E63" t="s">
        <v>24</v>
      </c>
      <c r="F63" s="50"/>
      <c r="G63" s="50"/>
    </row>
    <row r="64" spans="2:7" ht="12.75" customHeight="1" x14ac:dyDescent="0.2">
      <c r="B64" s="67">
        <v>28</v>
      </c>
      <c r="C64" s="71" t="s">
        <v>159</v>
      </c>
      <c r="D64" s="75">
        <v>0.5</v>
      </c>
      <c r="E64" t="s">
        <v>173</v>
      </c>
      <c r="F64" s="2"/>
      <c r="G64" s="2"/>
    </row>
    <row r="65" spans="2:7" x14ac:dyDescent="0.2">
      <c r="B65" s="67">
        <v>29</v>
      </c>
      <c r="C65" s="72" t="s">
        <v>160</v>
      </c>
      <c r="D65" s="76">
        <v>620</v>
      </c>
      <c r="E65" t="s">
        <v>174</v>
      </c>
      <c r="F65" s="2"/>
      <c r="G65" s="2"/>
    </row>
    <row r="66" spans="2:7" x14ac:dyDescent="0.2">
      <c r="B66" s="67">
        <v>30</v>
      </c>
      <c r="C66" s="72" t="s">
        <v>161</v>
      </c>
      <c r="D66" s="76">
        <v>255</v>
      </c>
      <c r="E66" t="s">
        <v>174</v>
      </c>
      <c r="F66" s="2"/>
      <c r="G66" s="2"/>
    </row>
    <row r="67" spans="2:7" ht="25.5" x14ac:dyDescent="0.2">
      <c r="B67" s="67"/>
      <c r="C67" s="72" t="s">
        <v>415</v>
      </c>
      <c r="D67" s="76">
        <v>140</v>
      </c>
      <c r="E67" t="s">
        <v>174</v>
      </c>
      <c r="F67" s="2"/>
      <c r="G67" s="2"/>
    </row>
    <row r="68" spans="2:7" x14ac:dyDescent="0.2">
      <c r="B68" s="2"/>
      <c r="C68" s="22" t="s">
        <v>162</v>
      </c>
      <c r="D68" s="2"/>
      <c r="E68" s="2"/>
      <c r="F68" s="2"/>
      <c r="G68" s="2"/>
    </row>
    <row r="69" spans="2:7" ht="15.75" x14ac:dyDescent="0.2">
      <c r="B69" s="2"/>
      <c r="C69" s="22" t="s">
        <v>163</v>
      </c>
      <c r="D69" s="2"/>
      <c r="E69" s="2"/>
      <c r="F69" s="2"/>
      <c r="G69" s="2"/>
    </row>
    <row r="70" spans="2:7" ht="15.75" x14ac:dyDescent="0.2">
      <c r="B70" s="2"/>
      <c r="C70" s="22" t="s">
        <v>164</v>
      </c>
      <c r="D70" s="2"/>
      <c r="E70" s="2"/>
      <c r="F70" s="2"/>
      <c r="G70" s="2"/>
    </row>
    <row r="71" spans="2:7" ht="25.5" customHeight="1" x14ac:dyDescent="0.2">
      <c r="B71" s="2"/>
      <c r="C71" s="2" t="s">
        <v>165</v>
      </c>
      <c r="D71" s="2"/>
      <c r="E71" s="2"/>
      <c r="F71" s="2"/>
      <c r="G71" s="2"/>
    </row>
  </sheetData>
  <sheetProtection algorithmName="SHA-512" hashValue="xiSSLRJfuizzvVL6ucEBFMSggT0Ozi/qCwNcU0NovxutUNb08cMB1kj/E+CnPjlqujHZDQNdW7dW2xoH+E/PLQ==" saltValue="QaqJOiWPyZnL72KpFyXeCA==" spinCount="100000" sheet="1" objects="1" scenarios="1"/>
  <mergeCells count="16">
    <mergeCell ref="C18:E18"/>
    <mergeCell ref="C19:E19"/>
    <mergeCell ref="C20:E20"/>
    <mergeCell ref="C21:E21"/>
    <mergeCell ref="B36:G36"/>
    <mergeCell ref="B4:G4"/>
    <mergeCell ref="B5:G5"/>
    <mergeCell ref="C9:E9"/>
    <mergeCell ref="C10:E10"/>
    <mergeCell ref="C16:E16"/>
    <mergeCell ref="C17:E17"/>
    <mergeCell ref="C11:E11"/>
    <mergeCell ref="C12:E12"/>
    <mergeCell ref="C13:E13"/>
    <mergeCell ref="C14:E14"/>
    <mergeCell ref="C15:E15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10</vt:i4>
      </vt:variant>
    </vt:vector>
  </HeadingPairs>
  <TitlesOfParts>
    <vt:vector size="18" baseType="lpstr">
      <vt:lpstr>Бланк</vt:lpstr>
      <vt:lpstr>Просчет</vt:lpstr>
      <vt:lpstr>Рахунок</vt:lpstr>
      <vt:lpstr>Материал МДФ</vt:lpstr>
      <vt:lpstr>Заявка на краску</vt:lpstr>
      <vt:lpstr>Лист1</vt:lpstr>
      <vt:lpstr>Наименования</vt:lpstr>
      <vt:lpstr>Прайс</vt:lpstr>
      <vt:lpstr>вісім</vt:lpstr>
      <vt:lpstr>Девятнадцять</vt:lpstr>
      <vt:lpstr>десять</vt:lpstr>
      <vt:lpstr>Бланк!Область_печати</vt:lpstr>
      <vt:lpstr>Объем</vt:lpstr>
      <vt:lpstr>Товщина</vt:lpstr>
      <vt:lpstr>Цвет</vt:lpstr>
      <vt:lpstr>чотири</vt:lpstr>
      <vt:lpstr>шістнадцять</vt:lpstr>
      <vt:lpstr>шість</vt:lpstr>
    </vt:vector>
  </TitlesOfParts>
  <Manager>Шацилло Кирилл Олегович</Manager>
  <Company>RePack by SPecialiST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Бланк заказа с автоматическим просчетом стоимости</dc:title>
  <dc:creator>Home</dc:creator>
  <cp:lastModifiedBy>I5-PC</cp:lastModifiedBy>
  <cp:lastPrinted>2023-12-04T07:54:39Z</cp:lastPrinted>
  <dcterms:created xsi:type="dcterms:W3CDTF">2015-03-06T18:50:38Z</dcterms:created>
  <dcterms:modified xsi:type="dcterms:W3CDTF">2025-02-05T09:56:20Z</dcterms:modified>
</cp:coreProperties>
</file>