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WIN-IO2LFKCPL2A\All\Для клиентов\Бланк замовлення\Бланки с просчётом стоимости от 01.08.24\"/>
    </mc:Choice>
  </mc:AlternateContent>
  <xr:revisionPtr revIDLastSave="0" documentId="13_ncr:1_{56EA1109-D251-42A7-9643-86FBCB5F3567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Бланк" sheetId="1" r:id="rId1"/>
    <sheet name="Просчёт" sheetId="9" state="hidden" r:id="rId2"/>
    <sheet name="Лист1" sheetId="8" state="hidden" r:id="rId3"/>
    <sheet name="Рахунок" sheetId="5" r:id="rId4"/>
    <sheet name="Материал МДФ" sheetId="6" state="hidden" r:id="rId5"/>
    <sheet name="Заявка на краску" sheetId="7" state="hidden" r:id="rId6"/>
    <sheet name="Прайс" sheetId="10" state="hidden" r:id="rId7"/>
  </sheets>
  <definedNames>
    <definedName name="_xlnm._FilterDatabase" localSheetId="0" hidden="1">Бланк!$M$83:$Q$83</definedName>
    <definedName name="_xlnm._FilterDatabase" localSheetId="3" hidden="1">Рахунок!$L$20:$L$98</definedName>
    <definedName name="вісім">#REF!</definedName>
    <definedName name="Девятнадцять">#REF!</definedName>
    <definedName name="десять">#REF!</definedName>
    <definedName name="_xlnm.Print_Area" localSheetId="0">Бланк!$B$1:$AI$91</definedName>
    <definedName name="Объем">'Заявка на краску'!$F$35:$F$79</definedName>
    <definedName name="Ручка">#REF!</definedName>
    <definedName name="Товщина">#REF!</definedName>
    <definedName name="Цвет">'Заявка на краску'!$C$35:$C$79</definedName>
    <definedName name="чотири">#REF!</definedName>
    <definedName name="шістнадцять">#REF!</definedName>
    <definedName name="шість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5" l="1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22" i="5"/>
  <c r="J23" i="5"/>
  <c r="J21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3" i="5"/>
  <c r="L84" i="5"/>
  <c r="L88" i="5"/>
  <c r="L90" i="5"/>
  <c r="L91" i="5"/>
  <c r="L92" i="5"/>
  <c r="L93" i="5"/>
  <c r="L94" i="5"/>
  <c r="L95" i="5"/>
  <c r="L96" i="5"/>
  <c r="L97" i="5"/>
  <c r="L98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C22" i="5"/>
  <c r="C23" i="5"/>
  <c r="C24" i="5"/>
  <c r="C25" i="5"/>
  <c r="C26" i="5"/>
  <c r="C27" i="5"/>
  <c r="C28" i="5"/>
  <c r="C29" i="5"/>
  <c r="C30" i="5"/>
  <c r="B97" i="5" s="1"/>
  <c r="C31" i="5"/>
  <c r="B93" i="5" s="1"/>
  <c r="C32" i="5"/>
  <c r="B94" i="5" s="1"/>
  <c r="C33" i="5"/>
  <c r="B95" i="5" s="1"/>
  <c r="C34" i="5"/>
  <c r="C35" i="5"/>
  <c r="C36" i="5"/>
  <c r="C37" i="5"/>
  <c r="C38" i="5"/>
  <c r="C39" i="5"/>
  <c r="C40" i="5"/>
  <c r="C41" i="5"/>
  <c r="C42" i="5"/>
  <c r="B96" i="5" s="1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M121" i="9"/>
  <c r="M120" i="9"/>
  <c r="M115" i="9"/>
  <c r="M114" i="9"/>
  <c r="M109" i="9"/>
  <c r="M108" i="9"/>
  <c r="M103" i="9"/>
  <c r="M102" i="9"/>
  <c r="M97" i="9"/>
  <c r="M96" i="9"/>
  <c r="M91" i="9"/>
  <c r="M90" i="9"/>
  <c r="AJ73" i="9"/>
  <c r="AJ74" i="9"/>
  <c r="AJ75" i="9"/>
  <c r="AJ76" i="9"/>
  <c r="AJ72" i="9"/>
  <c r="AJ22" i="9"/>
  <c r="AJ23" i="9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39" i="9"/>
  <c r="AJ40" i="9"/>
  <c r="AJ41" i="9"/>
  <c r="AJ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21" i="9"/>
  <c r="M154" i="9"/>
  <c r="M153" i="9"/>
  <c r="M152" i="9"/>
  <c r="M151" i="9"/>
  <c r="M150" i="9"/>
  <c r="M149" i="9"/>
  <c r="M148" i="9"/>
  <c r="M147" i="9"/>
  <c r="M146" i="9"/>
  <c r="M145" i="9"/>
  <c r="M144" i="9"/>
  <c r="M143" i="9"/>
  <c r="M142" i="9"/>
  <c r="M141" i="9"/>
  <c r="M140" i="9"/>
  <c r="M139" i="9"/>
  <c r="M138" i="9"/>
  <c r="M137" i="9"/>
  <c r="M136" i="9"/>
  <c r="M135" i="9"/>
  <c r="M134" i="9"/>
  <c r="B92" i="5" l="1"/>
  <c r="B91" i="5"/>
  <c r="B90" i="5"/>
  <c r="B98" i="5"/>
  <c r="AJ77" i="9"/>
  <c r="AJ66" i="9"/>
  <c r="M133" i="9"/>
  <c r="M132" i="9"/>
  <c r="M131" i="9"/>
  <c r="M130" i="9"/>
  <c r="M129" i="9"/>
  <c r="M128" i="9"/>
  <c r="M127" i="9"/>
  <c r="M126" i="9"/>
  <c r="M125" i="9"/>
  <c r="M124" i="9"/>
  <c r="M123" i="9"/>
  <c r="M122" i="9"/>
  <c r="M119" i="9"/>
  <c r="M118" i="9"/>
  <c r="M117" i="9"/>
  <c r="M116" i="9"/>
  <c r="M113" i="9"/>
  <c r="M112" i="9"/>
  <c r="M111" i="9"/>
  <c r="M110" i="9"/>
  <c r="M107" i="9"/>
  <c r="M106" i="9"/>
  <c r="M105" i="9"/>
  <c r="M104" i="9"/>
  <c r="M101" i="9"/>
  <c r="M100" i="9"/>
  <c r="M99" i="9"/>
  <c r="M98" i="9"/>
  <c r="M95" i="9"/>
  <c r="M94" i="9"/>
  <c r="M93" i="9"/>
  <c r="M92" i="9"/>
  <c r="M89" i="9"/>
  <c r="M88" i="9"/>
  <c r="M87" i="9"/>
  <c r="M86" i="9"/>
  <c r="E18" i="5" l="1"/>
  <c r="E17" i="5"/>
  <c r="E16" i="5"/>
  <c r="E15" i="5"/>
  <c r="E14" i="5"/>
  <c r="I21" i="5" l="1"/>
  <c r="C21" i="5"/>
  <c r="AP84" i="9"/>
  <c r="AP87" i="9" s="1"/>
  <c r="AP92" i="9" s="1"/>
  <c r="O154" i="9"/>
  <c r="O149" i="9"/>
  <c r="O148" i="9"/>
  <c r="K21" i="5"/>
  <c r="AK73" i="9"/>
  <c r="AK74" i="9"/>
  <c r="AK75" i="9"/>
  <c r="AK76" i="9"/>
  <c r="AB73" i="9"/>
  <c r="AC73" i="9"/>
  <c r="AD73" i="9"/>
  <c r="AE73" i="9"/>
  <c r="AB74" i="9"/>
  <c r="AC74" i="9"/>
  <c r="AD74" i="9"/>
  <c r="AE74" i="9"/>
  <c r="AB75" i="9"/>
  <c r="AC75" i="9"/>
  <c r="AD75" i="9"/>
  <c r="AE75" i="9"/>
  <c r="AB76" i="9"/>
  <c r="AC76" i="9"/>
  <c r="AD76" i="9"/>
  <c r="AE76" i="9"/>
  <c r="AE72" i="9"/>
  <c r="AD72" i="9"/>
  <c r="AC72" i="9"/>
  <c r="AB72" i="9"/>
  <c r="AB22" i="9"/>
  <c r="AC22" i="9"/>
  <c r="AD22" i="9"/>
  <c r="AE22" i="9"/>
  <c r="AB23" i="9"/>
  <c r="AC23" i="9"/>
  <c r="AD23" i="9"/>
  <c r="AE23" i="9"/>
  <c r="AB24" i="9"/>
  <c r="AC24" i="9"/>
  <c r="AD24" i="9"/>
  <c r="AE24" i="9"/>
  <c r="AB25" i="9"/>
  <c r="AC25" i="9"/>
  <c r="AD25" i="9"/>
  <c r="AE25" i="9"/>
  <c r="AB26" i="9"/>
  <c r="AC26" i="9"/>
  <c r="AD26" i="9"/>
  <c r="AE26" i="9"/>
  <c r="AB27" i="9"/>
  <c r="AC27" i="9"/>
  <c r="AD27" i="9"/>
  <c r="AE27" i="9"/>
  <c r="AB28" i="9"/>
  <c r="AC28" i="9"/>
  <c r="AD28" i="9"/>
  <c r="AE28" i="9"/>
  <c r="AB29" i="9"/>
  <c r="AC29" i="9"/>
  <c r="AD29" i="9"/>
  <c r="AE29" i="9"/>
  <c r="AB30" i="9"/>
  <c r="AC30" i="9"/>
  <c r="AD30" i="9"/>
  <c r="AE30" i="9"/>
  <c r="AB31" i="9"/>
  <c r="AC31" i="9"/>
  <c r="AD31" i="9"/>
  <c r="AE31" i="9"/>
  <c r="AB32" i="9"/>
  <c r="AC32" i="9"/>
  <c r="AD32" i="9"/>
  <c r="AE32" i="9"/>
  <c r="AB33" i="9"/>
  <c r="AC33" i="9"/>
  <c r="AD33" i="9"/>
  <c r="AE33" i="9"/>
  <c r="AB34" i="9"/>
  <c r="AC34" i="9"/>
  <c r="AD34" i="9"/>
  <c r="AE34" i="9"/>
  <c r="AB35" i="9"/>
  <c r="AC35" i="9"/>
  <c r="AD35" i="9"/>
  <c r="AE35" i="9"/>
  <c r="AB36" i="9"/>
  <c r="AC36" i="9"/>
  <c r="AD36" i="9"/>
  <c r="AE36" i="9"/>
  <c r="AB37" i="9"/>
  <c r="AC37" i="9"/>
  <c r="AD37" i="9"/>
  <c r="AE37" i="9"/>
  <c r="AB38" i="9"/>
  <c r="AC38" i="9"/>
  <c r="AD38" i="9"/>
  <c r="AE38" i="9"/>
  <c r="AB39" i="9"/>
  <c r="AC39" i="9"/>
  <c r="AD39" i="9"/>
  <c r="AE39" i="9"/>
  <c r="AB40" i="9"/>
  <c r="AC40" i="9"/>
  <c r="AD40" i="9"/>
  <c r="AE40" i="9"/>
  <c r="AB41" i="9"/>
  <c r="AC41" i="9"/>
  <c r="AD41" i="9"/>
  <c r="AE41" i="9"/>
  <c r="AB42" i="9"/>
  <c r="AC42" i="9"/>
  <c r="AD42" i="9"/>
  <c r="AE42" i="9"/>
  <c r="AB43" i="9"/>
  <c r="AC43" i="9"/>
  <c r="AD43" i="9"/>
  <c r="AE43" i="9"/>
  <c r="AB44" i="9"/>
  <c r="AC44" i="9"/>
  <c r="AD44" i="9"/>
  <c r="AE44" i="9"/>
  <c r="AB45" i="9"/>
  <c r="AC45" i="9"/>
  <c r="AD45" i="9"/>
  <c r="AE45" i="9"/>
  <c r="AB46" i="9"/>
  <c r="AC46" i="9"/>
  <c r="AD46" i="9"/>
  <c r="AE46" i="9"/>
  <c r="AB47" i="9"/>
  <c r="AC47" i="9"/>
  <c r="AD47" i="9"/>
  <c r="AE47" i="9"/>
  <c r="AB48" i="9"/>
  <c r="AC48" i="9"/>
  <c r="AD48" i="9"/>
  <c r="AE48" i="9"/>
  <c r="AB49" i="9"/>
  <c r="AC49" i="9"/>
  <c r="AD49" i="9"/>
  <c r="AE49" i="9"/>
  <c r="AB50" i="9"/>
  <c r="AC50" i="9"/>
  <c r="AD50" i="9"/>
  <c r="AE50" i="9"/>
  <c r="AB51" i="9"/>
  <c r="AC51" i="9"/>
  <c r="AD51" i="9"/>
  <c r="AE51" i="9"/>
  <c r="AB52" i="9"/>
  <c r="AC52" i="9"/>
  <c r="AD52" i="9"/>
  <c r="AE52" i="9"/>
  <c r="AB53" i="9"/>
  <c r="AC53" i="9"/>
  <c r="AD53" i="9"/>
  <c r="AE53" i="9"/>
  <c r="AB54" i="9"/>
  <c r="AC54" i="9"/>
  <c r="AD54" i="9"/>
  <c r="AE54" i="9"/>
  <c r="AB55" i="9"/>
  <c r="AC55" i="9"/>
  <c r="AD55" i="9"/>
  <c r="AE55" i="9"/>
  <c r="AB56" i="9"/>
  <c r="AC56" i="9"/>
  <c r="AD56" i="9"/>
  <c r="AE56" i="9"/>
  <c r="AB57" i="9"/>
  <c r="AC57" i="9"/>
  <c r="AD57" i="9"/>
  <c r="AE57" i="9"/>
  <c r="AB58" i="9"/>
  <c r="AC58" i="9"/>
  <c r="AD58" i="9"/>
  <c r="AE58" i="9"/>
  <c r="AB59" i="9"/>
  <c r="AC59" i="9"/>
  <c r="AD59" i="9"/>
  <c r="AE59" i="9"/>
  <c r="AB60" i="9"/>
  <c r="AC60" i="9"/>
  <c r="AD60" i="9"/>
  <c r="AE60" i="9"/>
  <c r="AB61" i="9"/>
  <c r="AC61" i="9"/>
  <c r="AD61" i="9"/>
  <c r="AE61" i="9"/>
  <c r="AB62" i="9"/>
  <c r="AC62" i="9"/>
  <c r="AD62" i="9"/>
  <c r="AE62" i="9"/>
  <c r="AB63" i="9"/>
  <c r="AC63" i="9"/>
  <c r="AD63" i="9"/>
  <c r="AE63" i="9"/>
  <c r="AB64" i="9"/>
  <c r="AC64" i="9"/>
  <c r="AD64" i="9"/>
  <c r="AE64" i="9"/>
  <c r="AB65" i="9"/>
  <c r="AC65" i="9"/>
  <c r="AD65" i="9"/>
  <c r="AE65" i="9"/>
  <c r="I22" i="9"/>
  <c r="K22" i="9"/>
  <c r="L22" i="9"/>
  <c r="I23" i="9"/>
  <c r="K23" i="9"/>
  <c r="L23" i="9"/>
  <c r="I24" i="9"/>
  <c r="K24" i="9"/>
  <c r="L24" i="9"/>
  <c r="I25" i="9"/>
  <c r="K25" i="9"/>
  <c r="L25" i="9"/>
  <c r="I26" i="9"/>
  <c r="K26" i="9"/>
  <c r="L26" i="9"/>
  <c r="I27" i="9"/>
  <c r="K27" i="9"/>
  <c r="L27" i="9"/>
  <c r="I28" i="9"/>
  <c r="K28" i="9"/>
  <c r="L28" i="9"/>
  <c r="I29" i="9"/>
  <c r="K29" i="9"/>
  <c r="L29" i="9"/>
  <c r="I30" i="9"/>
  <c r="K30" i="9"/>
  <c r="L30" i="9"/>
  <c r="I31" i="9"/>
  <c r="K31" i="9"/>
  <c r="L31" i="9"/>
  <c r="I32" i="9"/>
  <c r="K32" i="9"/>
  <c r="L32" i="9"/>
  <c r="I33" i="9"/>
  <c r="K33" i="9"/>
  <c r="L33" i="9"/>
  <c r="I34" i="9"/>
  <c r="K34" i="9"/>
  <c r="L34" i="9"/>
  <c r="I35" i="9"/>
  <c r="K35" i="9"/>
  <c r="L35" i="9"/>
  <c r="I36" i="9"/>
  <c r="K36" i="9"/>
  <c r="L36" i="9"/>
  <c r="I37" i="9"/>
  <c r="K37" i="9"/>
  <c r="L37" i="9"/>
  <c r="I38" i="9"/>
  <c r="K38" i="9"/>
  <c r="L38" i="9"/>
  <c r="I39" i="9"/>
  <c r="K39" i="9"/>
  <c r="L39" i="9"/>
  <c r="I40" i="9"/>
  <c r="K40" i="9"/>
  <c r="L40" i="9"/>
  <c r="I41" i="9"/>
  <c r="K41" i="9"/>
  <c r="L41" i="9"/>
  <c r="I42" i="9"/>
  <c r="K42" i="9"/>
  <c r="L42" i="9"/>
  <c r="I43" i="9"/>
  <c r="K43" i="9"/>
  <c r="L43" i="9"/>
  <c r="I44" i="9"/>
  <c r="K44" i="9"/>
  <c r="L44" i="9"/>
  <c r="I45" i="9"/>
  <c r="K45" i="9"/>
  <c r="L45" i="9"/>
  <c r="I46" i="9"/>
  <c r="K46" i="9"/>
  <c r="L46" i="9"/>
  <c r="I47" i="9"/>
  <c r="K47" i="9"/>
  <c r="L47" i="9"/>
  <c r="I48" i="9"/>
  <c r="K48" i="9"/>
  <c r="L48" i="9"/>
  <c r="I49" i="9"/>
  <c r="K49" i="9"/>
  <c r="L49" i="9"/>
  <c r="I50" i="9"/>
  <c r="K50" i="9"/>
  <c r="L50" i="9"/>
  <c r="I51" i="9"/>
  <c r="K51" i="9"/>
  <c r="L51" i="9"/>
  <c r="I52" i="9"/>
  <c r="K52" i="9"/>
  <c r="L52" i="9"/>
  <c r="I53" i="9"/>
  <c r="K53" i="9"/>
  <c r="L53" i="9"/>
  <c r="I54" i="9"/>
  <c r="K54" i="9"/>
  <c r="L54" i="9"/>
  <c r="I55" i="9"/>
  <c r="K55" i="9"/>
  <c r="L55" i="9"/>
  <c r="I56" i="9"/>
  <c r="K56" i="9"/>
  <c r="L56" i="9"/>
  <c r="I57" i="9"/>
  <c r="K57" i="9"/>
  <c r="L57" i="9"/>
  <c r="I58" i="9"/>
  <c r="K58" i="9"/>
  <c r="L58" i="9"/>
  <c r="I59" i="9"/>
  <c r="K59" i="9"/>
  <c r="L59" i="9"/>
  <c r="I60" i="9"/>
  <c r="K60" i="9"/>
  <c r="L60" i="9"/>
  <c r="I61" i="9"/>
  <c r="K61" i="9"/>
  <c r="L61" i="9"/>
  <c r="I62" i="9"/>
  <c r="K62" i="9"/>
  <c r="L62" i="9"/>
  <c r="I63" i="9"/>
  <c r="K63" i="9"/>
  <c r="L63" i="9"/>
  <c r="I64" i="9"/>
  <c r="K64" i="9"/>
  <c r="L64" i="9"/>
  <c r="I65" i="9"/>
  <c r="K65" i="9"/>
  <c r="L65" i="9"/>
  <c r="C73" i="9"/>
  <c r="AI73" i="9" s="1"/>
  <c r="D73" i="9"/>
  <c r="E73" i="9"/>
  <c r="F73" i="9"/>
  <c r="C74" i="9"/>
  <c r="J74" i="9" s="1"/>
  <c r="D74" i="9"/>
  <c r="E74" i="9"/>
  <c r="F74" i="9"/>
  <c r="C75" i="9"/>
  <c r="AI75" i="9" s="1"/>
  <c r="D75" i="9"/>
  <c r="E75" i="9"/>
  <c r="F75" i="9"/>
  <c r="C76" i="9"/>
  <c r="AH76" i="9" s="1"/>
  <c r="D76" i="9"/>
  <c r="E76" i="9"/>
  <c r="F76" i="9"/>
  <c r="I73" i="9"/>
  <c r="I74" i="9"/>
  <c r="I75" i="9"/>
  <c r="I76" i="9"/>
  <c r="O73" i="9"/>
  <c r="P73" i="9"/>
  <c r="S73" i="9"/>
  <c r="AA73" i="9" s="1"/>
  <c r="O74" i="9"/>
  <c r="P74" i="9"/>
  <c r="S74" i="9"/>
  <c r="T74" i="9" s="1"/>
  <c r="O75" i="9"/>
  <c r="P75" i="9"/>
  <c r="S75" i="9"/>
  <c r="T75" i="9" s="1"/>
  <c r="O76" i="9"/>
  <c r="P76" i="9"/>
  <c r="S76" i="9"/>
  <c r="AA76" i="9" s="1"/>
  <c r="S72" i="9"/>
  <c r="T72" i="9" s="1"/>
  <c r="P72" i="9"/>
  <c r="O72" i="9"/>
  <c r="N73" i="9"/>
  <c r="N74" i="9"/>
  <c r="N75" i="9"/>
  <c r="N76" i="9"/>
  <c r="M73" i="9"/>
  <c r="M74" i="9"/>
  <c r="M75" i="9"/>
  <c r="M76" i="9"/>
  <c r="L72" i="9"/>
  <c r="K72" i="9"/>
  <c r="K153" i="9" s="1"/>
  <c r="I72" i="9"/>
  <c r="F72" i="9"/>
  <c r="E72" i="9"/>
  <c r="D72" i="9"/>
  <c r="C72" i="9"/>
  <c r="J72" i="9" s="1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35" i="9"/>
  <c r="AK36" i="9"/>
  <c r="AK37" i="9"/>
  <c r="AK38" i="9"/>
  <c r="AK39" i="9"/>
  <c r="AK40" i="9"/>
  <c r="AK41" i="9"/>
  <c r="AK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21" i="9"/>
  <c r="M62" i="9" l="1"/>
  <c r="N62" i="9"/>
  <c r="N58" i="9"/>
  <c r="M58" i="9"/>
  <c r="M54" i="9"/>
  <c r="N54" i="9"/>
  <c r="M50" i="9"/>
  <c r="N50" i="9"/>
  <c r="N46" i="9"/>
  <c r="M46" i="9"/>
  <c r="M42" i="9"/>
  <c r="N42" i="9"/>
  <c r="M38" i="9"/>
  <c r="N38" i="9"/>
  <c r="N34" i="9"/>
  <c r="M34" i="9"/>
  <c r="M30" i="9"/>
  <c r="N30" i="9"/>
  <c r="M26" i="9"/>
  <c r="N26" i="9"/>
  <c r="M22" i="9"/>
  <c r="N22" i="9"/>
  <c r="J76" i="9"/>
  <c r="T73" i="9"/>
  <c r="M65" i="9"/>
  <c r="N65" i="9"/>
  <c r="M57" i="9"/>
  <c r="N57" i="9"/>
  <c r="M53" i="9"/>
  <c r="N53" i="9"/>
  <c r="M45" i="9"/>
  <c r="N45" i="9"/>
  <c r="M37" i="9"/>
  <c r="N37" i="9"/>
  <c r="M33" i="9"/>
  <c r="N33" i="9"/>
  <c r="M29" i="9"/>
  <c r="N29" i="9"/>
  <c r="M25" i="9"/>
  <c r="N25" i="9"/>
  <c r="J75" i="9"/>
  <c r="M61" i="9"/>
  <c r="N61" i="9"/>
  <c r="M49" i="9"/>
  <c r="N49" i="9"/>
  <c r="M41" i="9"/>
  <c r="N41" i="9"/>
  <c r="T76" i="9"/>
  <c r="K129" i="9"/>
  <c r="N129" i="9" s="1"/>
  <c r="M64" i="9"/>
  <c r="N64" i="9"/>
  <c r="M60" i="9"/>
  <c r="N60" i="9"/>
  <c r="M56" i="9"/>
  <c r="N56" i="9"/>
  <c r="M52" i="9"/>
  <c r="N52" i="9"/>
  <c r="M48" i="9"/>
  <c r="N48" i="9"/>
  <c r="M44" i="9"/>
  <c r="N44" i="9"/>
  <c r="M40" i="9"/>
  <c r="N40" i="9"/>
  <c r="M36" i="9"/>
  <c r="N36" i="9"/>
  <c r="M32" i="9"/>
  <c r="N32" i="9"/>
  <c r="N28" i="9"/>
  <c r="M28" i="9"/>
  <c r="M24" i="9"/>
  <c r="N24" i="9"/>
  <c r="O153" i="9"/>
  <c r="M63" i="9"/>
  <c r="N63" i="9"/>
  <c r="M59" i="9"/>
  <c r="N59" i="9"/>
  <c r="M55" i="9"/>
  <c r="N55" i="9"/>
  <c r="M51" i="9"/>
  <c r="N51" i="9"/>
  <c r="M47" i="9"/>
  <c r="N47" i="9"/>
  <c r="M43" i="9"/>
  <c r="N43" i="9"/>
  <c r="M39" i="9"/>
  <c r="N39" i="9"/>
  <c r="M35" i="9"/>
  <c r="N35" i="9"/>
  <c r="M31" i="9"/>
  <c r="N31" i="9"/>
  <c r="M27" i="9"/>
  <c r="N27" i="9"/>
  <c r="M23" i="9"/>
  <c r="N23" i="9"/>
  <c r="AI76" i="9"/>
  <c r="AA75" i="9"/>
  <c r="M72" i="9"/>
  <c r="J73" i="9"/>
  <c r="K124" i="9"/>
  <c r="N124" i="9" s="1"/>
  <c r="K145" i="9"/>
  <c r="K143" i="9"/>
  <c r="K141" i="9"/>
  <c r="K133" i="9"/>
  <c r="K131" i="9"/>
  <c r="K144" i="9"/>
  <c r="K142" i="9"/>
  <c r="K140" i="9"/>
  <c r="K138" i="9"/>
  <c r="K132" i="9"/>
  <c r="K130" i="9"/>
  <c r="K139" i="9"/>
  <c r="K126" i="9"/>
  <c r="K128" i="9"/>
  <c r="K127" i="9"/>
  <c r="AA72" i="9"/>
  <c r="AI72" i="9" s="1"/>
  <c r="K149" i="9"/>
  <c r="K148" i="9"/>
  <c r="N72" i="9"/>
  <c r="AH75" i="9"/>
  <c r="AH73" i="9"/>
  <c r="K137" i="9"/>
  <c r="K135" i="9"/>
  <c r="K136" i="9"/>
  <c r="K134" i="9"/>
  <c r="AK72" i="9"/>
  <c r="K125" i="9"/>
  <c r="AA74" i="9"/>
  <c r="AH74" i="9" s="1"/>
  <c r="N144" i="9" l="1"/>
  <c r="K122" i="9"/>
  <c r="N128" i="9"/>
  <c r="N130" i="9"/>
  <c r="N140" i="9"/>
  <c r="N127" i="9"/>
  <c r="N134" i="9"/>
  <c r="N148" i="9"/>
  <c r="N142" i="9"/>
  <c r="N138" i="9"/>
  <c r="N132" i="9"/>
  <c r="N126" i="9"/>
  <c r="N139" i="9"/>
  <c r="N133" i="9"/>
  <c r="N143" i="9"/>
  <c r="N131" i="9"/>
  <c r="N141" i="9"/>
  <c r="N145" i="9"/>
  <c r="N149" i="9"/>
  <c r="N125" i="9"/>
  <c r="N135" i="9"/>
  <c r="N136" i="9"/>
  <c r="N137" i="9"/>
  <c r="AI74" i="9"/>
  <c r="N122" i="9" l="1"/>
  <c r="AE21" i="9"/>
  <c r="AD21" i="9"/>
  <c r="AC21" i="9"/>
  <c r="AB21" i="9"/>
  <c r="K103" i="9" l="1"/>
  <c r="K120" i="9"/>
  <c r="K96" i="9"/>
  <c r="K108" i="9"/>
  <c r="K121" i="9"/>
  <c r="K97" i="9"/>
  <c r="K115" i="9"/>
  <c r="K114" i="9"/>
  <c r="K102" i="9"/>
  <c r="K109" i="9"/>
  <c r="K89" i="9"/>
  <c r="K119" i="9"/>
  <c r="K117" i="9"/>
  <c r="K118" i="9"/>
  <c r="K116" i="9"/>
  <c r="K113" i="9"/>
  <c r="K111" i="9"/>
  <c r="K112" i="9"/>
  <c r="K110" i="9"/>
  <c r="K100" i="9"/>
  <c r="K98" i="9"/>
  <c r="K101" i="9"/>
  <c r="K99" i="9"/>
  <c r="K95" i="9"/>
  <c r="K93" i="9"/>
  <c r="K94" i="9"/>
  <c r="K92" i="9"/>
  <c r="S22" i="9"/>
  <c r="AA22" i="9" s="1"/>
  <c r="S23" i="9"/>
  <c r="AA23" i="9" s="1"/>
  <c r="S24" i="9"/>
  <c r="AA24" i="9" s="1"/>
  <c r="S25" i="9"/>
  <c r="AA25" i="9" s="1"/>
  <c r="S26" i="9"/>
  <c r="AA26" i="9" s="1"/>
  <c r="S27" i="9"/>
  <c r="S28" i="9"/>
  <c r="AA28" i="9" s="1"/>
  <c r="S29" i="9"/>
  <c r="AA29" i="9" s="1"/>
  <c r="S30" i="9"/>
  <c r="AA30" i="9" s="1"/>
  <c r="S31" i="9"/>
  <c r="AA31" i="9" s="1"/>
  <c r="S32" i="9"/>
  <c r="AA32" i="9" s="1"/>
  <c r="S33" i="9"/>
  <c r="AA33" i="9" s="1"/>
  <c r="S34" i="9"/>
  <c r="AA34" i="9" s="1"/>
  <c r="S35" i="9"/>
  <c r="AA35" i="9" s="1"/>
  <c r="S36" i="9"/>
  <c r="AA36" i="9" s="1"/>
  <c r="S37" i="9"/>
  <c r="S38" i="9"/>
  <c r="AA38" i="9" s="1"/>
  <c r="S39" i="9"/>
  <c r="S40" i="9"/>
  <c r="AA40" i="9" s="1"/>
  <c r="S41" i="9"/>
  <c r="S42" i="9"/>
  <c r="AA42" i="9" s="1"/>
  <c r="S43" i="9"/>
  <c r="S44" i="9"/>
  <c r="AA44" i="9" s="1"/>
  <c r="S45" i="9"/>
  <c r="S46" i="9"/>
  <c r="AA46" i="9" s="1"/>
  <c r="S47" i="9"/>
  <c r="S48" i="9"/>
  <c r="AA48" i="9" s="1"/>
  <c r="S49" i="9"/>
  <c r="S50" i="9"/>
  <c r="AA50" i="9" s="1"/>
  <c r="S51" i="9"/>
  <c r="S52" i="9"/>
  <c r="AA52" i="9" s="1"/>
  <c r="S53" i="9"/>
  <c r="S54" i="9"/>
  <c r="AA54" i="9" s="1"/>
  <c r="S55" i="9"/>
  <c r="T55" i="9" s="1"/>
  <c r="S56" i="9"/>
  <c r="AA56" i="9" s="1"/>
  <c r="S57" i="9"/>
  <c r="T57" i="9" s="1"/>
  <c r="S58" i="9"/>
  <c r="AA58" i="9" s="1"/>
  <c r="S59" i="9"/>
  <c r="T59" i="9" s="1"/>
  <c r="S60" i="9"/>
  <c r="AA60" i="9" s="1"/>
  <c r="S61" i="9"/>
  <c r="T61" i="9" s="1"/>
  <c r="S62" i="9"/>
  <c r="AA62" i="9" s="1"/>
  <c r="S63" i="9"/>
  <c r="T63" i="9" s="1"/>
  <c r="S64" i="9"/>
  <c r="AA64" i="9" s="1"/>
  <c r="S65" i="9"/>
  <c r="T65" i="9" s="1"/>
  <c r="S21" i="9"/>
  <c r="AA21" i="9" s="1"/>
  <c r="O22" i="9"/>
  <c r="P22" i="9"/>
  <c r="O23" i="9"/>
  <c r="P23" i="9"/>
  <c r="O24" i="9"/>
  <c r="P24" i="9"/>
  <c r="O25" i="9"/>
  <c r="P25" i="9"/>
  <c r="O26" i="9"/>
  <c r="P26" i="9"/>
  <c r="O27" i="9"/>
  <c r="P27" i="9"/>
  <c r="O28" i="9"/>
  <c r="P28" i="9"/>
  <c r="O29" i="9"/>
  <c r="P29" i="9"/>
  <c r="O30" i="9"/>
  <c r="P30" i="9"/>
  <c r="O31" i="9"/>
  <c r="P31" i="9"/>
  <c r="O32" i="9"/>
  <c r="P32" i="9"/>
  <c r="O33" i="9"/>
  <c r="P33" i="9"/>
  <c r="O34" i="9"/>
  <c r="P34" i="9"/>
  <c r="O35" i="9"/>
  <c r="P35" i="9"/>
  <c r="O36" i="9"/>
  <c r="P36" i="9"/>
  <c r="O37" i="9"/>
  <c r="P37" i="9"/>
  <c r="O38" i="9"/>
  <c r="P38" i="9"/>
  <c r="O39" i="9"/>
  <c r="P39" i="9"/>
  <c r="O40" i="9"/>
  <c r="P40" i="9"/>
  <c r="O41" i="9"/>
  <c r="P41" i="9"/>
  <c r="O42" i="9"/>
  <c r="P42" i="9"/>
  <c r="O43" i="9"/>
  <c r="P43" i="9"/>
  <c r="O44" i="9"/>
  <c r="P44" i="9"/>
  <c r="O45" i="9"/>
  <c r="P45" i="9"/>
  <c r="O46" i="9"/>
  <c r="P46" i="9"/>
  <c r="O47" i="9"/>
  <c r="P47" i="9"/>
  <c r="O48" i="9"/>
  <c r="P48" i="9"/>
  <c r="O49" i="9"/>
  <c r="P49" i="9"/>
  <c r="O50" i="9"/>
  <c r="P50" i="9"/>
  <c r="O51" i="9"/>
  <c r="P51" i="9"/>
  <c r="O52" i="9"/>
  <c r="P52" i="9"/>
  <c r="O53" i="9"/>
  <c r="P53" i="9"/>
  <c r="O54" i="9"/>
  <c r="P54" i="9"/>
  <c r="O55" i="9"/>
  <c r="P55" i="9"/>
  <c r="O56" i="9"/>
  <c r="P56" i="9"/>
  <c r="O57" i="9"/>
  <c r="P57" i="9"/>
  <c r="O58" i="9"/>
  <c r="P58" i="9"/>
  <c r="O59" i="9"/>
  <c r="P59" i="9"/>
  <c r="O60" i="9"/>
  <c r="P60" i="9"/>
  <c r="O61" i="9"/>
  <c r="P61" i="9"/>
  <c r="O62" i="9"/>
  <c r="P62" i="9"/>
  <c r="O63" i="9"/>
  <c r="P63" i="9"/>
  <c r="O64" i="9"/>
  <c r="P64" i="9"/>
  <c r="O65" i="9"/>
  <c r="P65" i="9"/>
  <c r="P21" i="9"/>
  <c r="O21" i="9"/>
  <c r="L21" i="9"/>
  <c r="K21" i="9"/>
  <c r="K150" i="9" s="1"/>
  <c r="F66" i="9"/>
  <c r="G66" i="9"/>
  <c r="H66" i="9"/>
  <c r="L66" i="9"/>
  <c r="M66" i="9"/>
  <c r="N66" i="9"/>
  <c r="O66" i="9"/>
  <c r="P66" i="9"/>
  <c r="Q66" i="9"/>
  <c r="R66" i="9"/>
  <c r="S66" i="9"/>
  <c r="T66" i="9"/>
  <c r="U66" i="9"/>
  <c r="V66" i="9"/>
  <c r="W66" i="9"/>
  <c r="X66" i="9"/>
  <c r="Y66" i="9"/>
  <c r="Z66" i="9"/>
  <c r="AA66" i="9"/>
  <c r="AB66" i="9"/>
  <c r="AC66" i="9"/>
  <c r="AE66" i="9"/>
  <c r="AF66" i="9"/>
  <c r="AG66" i="9"/>
  <c r="AM66" i="9"/>
  <c r="AN66" i="9"/>
  <c r="AO66" i="9"/>
  <c r="I21" i="9"/>
  <c r="C22" i="9"/>
  <c r="J22" i="9" s="1"/>
  <c r="D22" i="9"/>
  <c r="E22" i="9"/>
  <c r="F22" i="9"/>
  <c r="C23" i="9"/>
  <c r="J23" i="9" s="1"/>
  <c r="D23" i="9"/>
  <c r="E23" i="9"/>
  <c r="F23" i="9"/>
  <c r="C24" i="9"/>
  <c r="J24" i="9" s="1"/>
  <c r="D24" i="9"/>
  <c r="E24" i="9"/>
  <c r="F24" i="9"/>
  <c r="C25" i="9"/>
  <c r="J25" i="9" s="1"/>
  <c r="D25" i="9"/>
  <c r="E25" i="9"/>
  <c r="F25" i="9"/>
  <c r="C26" i="9"/>
  <c r="J26" i="9" s="1"/>
  <c r="D26" i="9"/>
  <c r="E26" i="9"/>
  <c r="F26" i="9"/>
  <c r="C27" i="9"/>
  <c r="J27" i="9" s="1"/>
  <c r="D27" i="9"/>
  <c r="E27" i="9"/>
  <c r="F27" i="9"/>
  <c r="C28" i="9"/>
  <c r="J28" i="9" s="1"/>
  <c r="D28" i="9"/>
  <c r="E28" i="9"/>
  <c r="F28" i="9"/>
  <c r="C29" i="9"/>
  <c r="J29" i="9" s="1"/>
  <c r="D29" i="9"/>
  <c r="E29" i="9"/>
  <c r="F29" i="9"/>
  <c r="C30" i="9"/>
  <c r="J30" i="9" s="1"/>
  <c r="D30" i="9"/>
  <c r="E30" i="9"/>
  <c r="F30" i="9"/>
  <c r="C31" i="9"/>
  <c r="J31" i="9" s="1"/>
  <c r="D31" i="9"/>
  <c r="E31" i="9"/>
  <c r="F31" i="9"/>
  <c r="C32" i="9"/>
  <c r="J32" i="9" s="1"/>
  <c r="D32" i="9"/>
  <c r="E32" i="9"/>
  <c r="F32" i="9"/>
  <c r="C33" i="9"/>
  <c r="J33" i="9" s="1"/>
  <c r="D33" i="9"/>
  <c r="E33" i="9"/>
  <c r="F33" i="9"/>
  <c r="C34" i="9"/>
  <c r="J34" i="9" s="1"/>
  <c r="D34" i="9"/>
  <c r="E34" i="9"/>
  <c r="F34" i="9"/>
  <c r="C35" i="9"/>
  <c r="J35" i="9" s="1"/>
  <c r="D35" i="9"/>
  <c r="E35" i="9"/>
  <c r="F35" i="9"/>
  <c r="C36" i="9"/>
  <c r="J36" i="9" s="1"/>
  <c r="D36" i="9"/>
  <c r="E36" i="9"/>
  <c r="F36" i="9"/>
  <c r="C37" i="9"/>
  <c r="J37" i="9" s="1"/>
  <c r="D37" i="9"/>
  <c r="E37" i="9"/>
  <c r="F37" i="9"/>
  <c r="C38" i="9"/>
  <c r="J38" i="9" s="1"/>
  <c r="D38" i="9"/>
  <c r="E38" i="9"/>
  <c r="F38" i="9"/>
  <c r="C39" i="9"/>
  <c r="J39" i="9" s="1"/>
  <c r="D39" i="9"/>
  <c r="E39" i="9"/>
  <c r="F39" i="9"/>
  <c r="C40" i="9"/>
  <c r="J40" i="9" s="1"/>
  <c r="D40" i="9"/>
  <c r="E40" i="9"/>
  <c r="F40" i="9"/>
  <c r="C41" i="9"/>
  <c r="J41" i="9" s="1"/>
  <c r="D41" i="9"/>
  <c r="E41" i="9"/>
  <c r="F41" i="9"/>
  <c r="C42" i="9"/>
  <c r="J42" i="9" s="1"/>
  <c r="D42" i="9"/>
  <c r="E42" i="9"/>
  <c r="F42" i="9"/>
  <c r="C43" i="9"/>
  <c r="J43" i="9" s="1"/>
  <c r="D43" i="9"/>
  <c r="E43" i="9"/>
  <c r="F43" i="9"/>
  <c r="C44" i="9"/>
  <c r="J44" i="9" s="1"/>
  <c r="D44" i="9"/>
  <c r="E44" i="9"/>
  <c r="F44" i="9"/>
  <c r="C45" i="9"/>
  <c r="J45" i="9" s="1"/>
  <c r="D45" i="9"/>
  <c r="E45" i="9"/>
  <c r="F45" i="9"/>
  <c r="C46" i="9"/>
  <c r="J46" i="9" s="1"/>
  <c r="D46" i="9"/>
  <c r="E46" i="9"/>
  <c r="F46" i="9"/>
  <c r="C47" i="9"/>
  <c r="J47" i="9" s="1"/>
  <c r="D47" i="9"/>
  <c r="E47" i="9"/>
  <c r="F47" i="9"/>
  <c r="C48" i="9"/>
  <c r="J48" i="9" s="1"/>
  <c r="D48" i="9"/>
  <c r="E48" i="9"/>
  <c r="F48" i="9"/>
  <c r="C49" i="9"/>
  <c r="J49" i="9" s="1"/>
  <c r="D49" i="9"/>
  <c r="E49" i="9"/>
  <c r="F49" i="9"/>
  <c r="C50" i="9"/>
  <c r="J50" i="9" s="1"/>
  <c r="D50" i="9"/>
  <c r="E50" i="9"/>
  <c r="F50" i="9"/>
  <c r="C51" i="9"/>
  <c r="J51" i="9" s="1"/>
  <c r="D51" i="9"/>
  <c r="E51" i="9"/>
  <c r="F51" i="9"/>
  <c r="C52" i="9"/>
  <c r="J52" i="9" s="1"/>
  <c r="D52" i="9"/>
  <c r="E52" i="9"/>
  <c r="F52" i="9"/>
  <c r="C53" i="9"/>
  <c r="J53" i="9" s="1"/>
  <c r="D53" i="9"/>
  <c r="E53" i="9"/>
  <c r="F53" i="9"/>
  <c r="C54" i="9"/>
  <c r="J54" i="9" s="1"/>
  <c r="D54" i="9"/>
  <c r="E54" i="9"/>
  <c r="F54" i="9"/>
  <c r="C55" i="9"/>
  <c r="J55" i="9" s="1"/>
  <c r="D55" i="9"/>
  <c r="E55" i="9"/>
  <c r="F55" i="9"/>
  <c r="C56" i="9"/>
  <c r="J56" i="9" s="1"/>
  <c r="D56" i="9"/>
  <c r="E56" i="9"/>
  <c r="F56" i="9"/>
  <c r="C57" i="9"/>
  <c r="J57" i="9" s="1"/>
  <c r="D57" i="9"/>
  <c r="E57" i="9"/>
  <c r="F57" i="9"/>
  <c r="C58" i="9"/>
  <c r="J58" i="9" s="1"/>
  <c r="D58" i="9"/>
  <c r="E58" i="9"/>
  <c r="F58" i="9"/>
  <c r="C59" i="9"/>
  <c r="J59" i="9" s="1"/>
  <c r="D59" i="9"/>
  <c r="E59" i="9"/>
  <c r="F59" i="9"/>
  <c r="C60" i="9"/>
  <c r="J60" i="9" s="1"/>
  <c r="D60" i="9"/>
  <c r="E60" i="9"/>
  <c r="F60" i="9"/>
  <c r="C61" i="9"/>
  <c r="J61" i="9" s="1"/>
  <c r="D61" i="9"/>
  <c r="E61" i="9"/>
  <c r="F61" i="9"/>
  <c r="C62" i="9"/>
  <c r="J62" i="9" s="1"/>
  <c r="D62" i="9"/>
  <c r="E62" i="9"/>
  <c r="F62" i="9"/>
  <c r="C63" i="9"/>
  <c r="J63" i="9" s="1"/>
  <c r="D63" i="9"/>
  <c r="E63" i="9"/>
  <c r="F63" i="9"/>
  <c r="C64" i="9"/>
  <c r="J64" i="9" s="1"/>
  <c r="D64" i="9"/>
  <c r="E64" i="9"/>
  <c r="F64" i="9"/>
  <c r="C65" i="9"/>
  <c r="J65" i="9" s="1"/>
  <c r="D65" i="9"/>
  <c r="E65" i="9"/>
  <c r="F65" i="9"/>
  <c r="D21" i="9"/>
  <c r="E21" i="9"/>
  <c r="F21" i="9"/>
  <c r="K105" i="9" s="1"/>
  <c r="G21" i="9"/>
  <c r="H21" i="9"/>
  <c r="C21" i="9"/>
  <c r="D80" i="9"/>
  <c r="D81" i="9" s="1"/>
  <c r="L77" i="9"/>
  <c r="K77" i="9"/>
  <c r="I77" i="9"/>
  <c r="E77" i="9"/>
  <c r="AP76" i="9"/>
  <c r="AP75" i="9"/>
  <c r="AP74" i="9"/>
  <c r="AP73" i="9"/>
  <c r="AP72" i="9"/>
  <c r="T60" i="9"/>
  <c r="T56" i="9"/>
  <c r="T42" i="9"/>
  <c r="N109" i="9" l="1"/>
  <c r="L44" i="5" s="1"/>
  <c r="N102" i="9"/>
  <c r="L37" i="5" s="1"/>
  <c r="N114" i="9"/>
  <c r="L49" i="5" s="1"/>
  <c r="N115" i="9"/>
  <c r="L50" i="5" s="1"/>
  <c r="N97" i="9"/>
  <c r="L32" i="5" s="1"/>
  <c r="O91" i="9"/>
  <c r="O90" i="9"/>
  <c r="N121" i="9"/>
  <c r="L56" i="5" s="1"/>
  <c r="N108" i="9"/>
  <c r="L43" i="5" s="1"/>
  <c r="N96" i="9"/>
  <c r="L31" i="5" s="1"/>
  <c r="N120" i="9"/>
  <c r="L55" i="5" s="1"/>
  <c r="N103" i="9"/>
  <c r="L38" i="5" s="1"/>
  <c r="K91" i="9"/>
  <c r="K90" i="9"/>
  <c r="T36" i="9"/>
  <c r="T24" i="9"/>
  <c r="T50" i="9"/>
  <c r="T29" i="9"/>
  <c r="T32" i="9"/>
  <c r="K106" i="9"/>
  <c r="K123" i="9"/>
  <c r="AH72" i="9"/>
  <c r="T22" i="9"/>
  <c r="T34" i="9"/>
  <c r="T38" i="9"/>
  <c r="T46" i="9"/>
  <c r="T54" i="9"/>
  <c r="T58" i="9"/>
  <c r="T62" i="9"/>
  <c r="K88" i="9"/>
  <c r="N89" i="9"/>
  <c r="L24" i="5" s="1"/>
  <c r="K104" i="9"/>
  <c r="K107" i="9"/>
  <c r="AP27" i="9"/>
  <c r="K151" i="9"/>
  <c r="T33" i="9"/>
  <c r="T40" i="9"/>
  <c r="T64" i="9"/>
  <c r="T26" i="9"/>
  <c r="T44" i="9"/>
  <c r="T28" i="9"/>
  <c r="T48" i="9"/>
  <c r="T30" i="9"/>
  <c r="T52" i="9"/>
  <c r="AP47" i="9"/>
  <c r="AP44" i="9"/>
  <c r="M21" i="9"/>
  <c r="N21" i="9"/>
  <c r="N98" i="9"/>
  <c r="L33" i="5" s="1"/>
  <c r="AP40" i="9"/>
  <c r="AP43" i="9"/>
  <c r="T31" i="9"/>
  <c r="AP64" i="9"/>
  <c r="AP61" i="9"/>
  <c r="AP58" i="9"/>
  <c r="AP55" i="9"/>
  <c r="AP52" i="9"/>
  <c r="AP49" i="9"/>
  <c r="AP46" i="9"/>
  <c r="AP37" i="9"/>
  <c r="O140" i="9"/>
  <c r="O145" i="9"/>
  <c r="O133" i="9"/>
  <c r="O132" i="9"/>
  <c r="O144" i="9"/>
  <c r="O137" i="9"/>
  <c r="O131" i="9"/>
  <c r="O125" i="9"/>
  <c r="O143" i="9"/>
  <c r="O142" i="9"/>
  <c r="O124" i="9"/>
  <c r="O136" i="9"/>
  <c r="O130" i="9"/>
  <c r="O139" i="9"/>
  <c r="O141" i="9"/>
  <c r="O127" i="9"/>
  <c r="O138" i="9"/>
  <c r="O135" i="9"/>
  <c r="O129" i="9"/>
  <c r="O123" i="9"/>
  <c r="O126" i="9"/>
  <c r="O134" i="9"/>
  <c r="O128" i="9"/>
  <c r="O122" i="9"/>
  <c r="AP36" i="9"/>
  <c r="AP48" i="9"/>
  <c r="AP63" i="9"/>
  <c r="AP60" i="9"/>
  <c r="AP57" i="9"/>
  <c r="AP54" i="9"/>
  <c r="AP51" i="9"/>
  <c r="AP45" i="9"/>
  <c r="AP42" i="9"/>
  <c r="AP39" i="9"/>
  <c r="AP65" i="9"/>
  <c r="AP62" i="9"/>
  <c r="AP59" i="9"/>
  <c r="AP56" i="9"/>
  <c r="AP53" i="9"/>
  <c r="AP50" i="9"/>
  <c r="AP41" i="9"/>
  <c r="AP38" i="9"/>
  <c r="AP26" i="9"/>
  <c r="AH26" i="9" s="1"/>
  <c r="K154" i="9"/>
  <c r="AP25" i="9"/>
  <c r="AH25" i="9" s="1"/>
  <c r="N116" i="9"/>
  <c r="L51" i="5" s="1"/>
  <c r="N117" i="9"/>
  <c r="L52" i="5" s="1"/>
  <c r="O119" i="9"/>
  <c r="O118" i="9"/>
  <c r="O113" i="9"/>
  <c r="O112" i="9"/>
  <c r="O111" i="9"/>
  <c r="O107" i="9"/>
  <c r="O106" i="9"/>
  <c r="O104" i="9"/>
  <c r="O100" i="9"/>
  <c r="O95" i="9"/>
  <c r="O93" i="9"/>
  <c r="O89" i="9"/>
  <c r="O87" i="9"/>
  <c r="O117" i="9"/>
  <c r="O116" i="9"/>
  <c r="O110" i="9"/>
  <c r="O105" i="9"/>
  <c r="O101" i="9"/>
  <c r="O99" i="9"/>
  <c r="O98" i="9"/>
  <c r="O94" i="9"/>
  <c r="O92" i="9"/>
  <c r="O88" i="9"/>
  <c r="O86" i="9"/>
  <c r="O146" i="9"/>
  <c r="O147" i="9"/>
  <c r="K147" i="9"/>
  <c r="K146" i="9"/>
  <c r="O152" i="9"/>
  <c r="O151" i="9"/>
  <c r="O150" i="9"/>
  <c r="K152" i="9"/>
  <c r="N118" i="9"/>
  <c r="L53" i="5" s="1"/>
  <c r="N119" i="9"/>
  <c r="L54" i="5" s="1"/>
  <c r="N153" i="9"/>
  <c r="AP77" i="9"/>
  <c r="AP78" i="9" s="1"/>
  <c r="N92" i="9"/>
  <c r="L27" i="5" s="1"/>
  <c r="N99" i="9"/>
  <c r="L34" i="5" s="1"/>
  <c r="N112" i="9"/>
  <c r="L47" i="5" s="1"/>
  <c r="N105" i="9"/>
  <c r="L40" i="5" s="1"/>
  <c r="N111" i="9"/>
  <c r="L46" i="5" s="1"/>
  <c r="N93" i="9"/>
  <c r="L28" i="5" s="1"/>
  <c r="T35" i="9"/>
  <c r="N94" i="9"/>
  <c r="L29" i="5" s="1"/>
  <c r="N95" i="9"/>
  <c r="L30" i="5" s="1"/>
  <c r="N101" i="9"/>
  <c r="L36" i="5" s="1"/>
  <c r="N100" i="9"/>
  <c r="L35" i="5" s="1"/>
  <c r="N110" i="9"/>
  <c r="L45" i="5" s="1"/>
  <c r="N113" i="9"/>
  <c r="L48" i="5" s="1"/>
  <c r="T21" i="9"/>
  <c r="AI65" i="9"/>
  <c r="AH65" i="9"/>
  <c r="AI64" i="9"/>
  <c r="AH64" i="9"/>
  <c r="AI63" i="9"/>
  <c r="AH63" i="9"/>
  <c r="AI62" i="9"/>
  <c r="AH62" i="9"/>
  <c r="AI61" i="9"/>
  <c r="AH61" i="9"/>
  <c r="AI60" i="9"/>
  <c r="AH60" i="9"/>
  <c r="AI59" i="9"/>
  <c r="AH59" i="9"/>
  <c r="AI58" i="9"/>
  <c r="AH58" i="9"/>
  <c r="AI57" i="9"/>
  <c r="AH57" i="9"/>
  <c r="AI56" i="9"/>
  <c r="AH56" i="9"/>
  <c r="AI55" i="9"/>
  <c r="AH55" i="9"/>
  <c r="AI54" i="9"/>
  <c r="AH54" i="9"/>
  <c r="AI53" i="9"/>
  <c r="AH53" i="9"/>
  <c r="AI52" i="9"/>
  <c r="AH52" i="9"/>
  <c r="AI51" i="9"/>
  <c r="AH51" i="9"/>
  <c r="AI50" i="9"/>
  <c r="AH50" i="9"/>
  <c r="AI49" i="9"/>
  <c r="AH49" i="9"/>
  <c r="AI48" i="9"/>
  <c r="AH48" i="9"/>
  <c r="AI47" i="9"/>
  <c r="AH47" i="9"/>
  <c r="AI46" i="9"/>
  <c r="AH46" i="9"/>
  <c r="AI45" i="9"/>
  <c r="AH45" i="9"/>
  <c r="AI44" i="9"/>
  <c r="AH44" i="9"/>
  <c r="AI43" i="9"/>
  <c r="AH43" i="9"/>
  <c r="AI42" i="9"/>
  <c r="AH42" i="9"/>
  <c r="AI41" i="9"/>
  <c r="AH41" i="9"/>
  <c r="AI40" i="9"/>
  <c r="AH40" i="9"/>
  <c r="AI39" i="9"/>
  <c r="AH39" i="9"/>
  <c r="AI38" i="9"/>
  <c r="AH38" i="9"/>
  <c r="AI37" i="9"/>
  <c r="AH37" i="9"/>
  <c r="AI36" i="9"/>
  <c r="AH36" i="9"/>
  <c r="AI35" i="9"/>
  <c r="AH35" i="9"/>
  <c r="AI34" i="9"/>
  <c r="AH34" i="9"/>
  <c r="AI33" i="9"/>
  <c r="AH33" i="9"/>
  <c r="AI32" i="9"/>
  <c r="AH32" i="9"/>
  <c r="AI31" i="9"/>
  <c r="AH31" i="9"/>
  <c r="AI30" i="9"/>
  <c r="AH30" i="9"/>
  <c r="AI29" i="9"/>
  <c r="AH29" i="9"/>
  <c r="AI28" i="9"/>
  <c r="AH28" i="9"/>
  <c r="AI26" i="9"/>
  <c r="AI25" i="9"/>
  <c r="AI24" i="9"/>
  <c r="AI23" i="9"/>
  <c r="AI22" i="9"/>
  <c r="AH21" i="9"/>
  <c r="AP21" i="9"/>
  <c r="AI21" i="9" s="1"/>
  <c r="T53" i="9"/>
  <c r="AA53" i="9"/>
  <c r="T51" i="9"/>
  <c r="AA51" i="9"/>
  <c r="T49" i="9"/>
  <c r="AA49" i="9"/>
  <c r="T47" i="9"/>
  <c r="AA47" i="9"/>
  <c r="T45" i="9"/>
  <c r="AA45" i="9"/>
  <c r="T43" i="9"/>
  <c r="AA43" i="9"/>
  <c r="T41" i="9"/>
  <c r="AA41" i="9"/>
  <c r="T39" i="9"/>
  <c r="AA39" i="9"/>
  <c r="T37" i="9"/>
  <c r="AA37" i="9"/>
  <c r="T27" i="9"/>
  <c r="AA27" i="9"/>
  <c r="AI27" i="9" s="1"/>
  <c r="AA65" i="9"/>
  <c r="AA61" i="9"/>
  <c r="AA57" i="9"/>
  <c r="T23" i="9"/>
  <c r="AP24" i="9"/>
  <c r="AH24" i="9" s="1"/>
  <c r="AP23" i="9"/>
  <c r="AH23" i="9" s="1"/>
  <c r="AP22" i="9"/>
  <c r="AH22" i="9" s="1"/>
  <c r="AA63" i="9"/>
  <c r="AA59" i="9"/>
  <c r="AA55" i="9"/>
  <c r="AP35" i="9"/>
  <c r="AP34" i="9"/>
  <c r="AP33" i="9"/>
  <c r="AP32" i="9"/>
  <c r="AP31" i="9"/>
  <c r="AP30" i="9"/>
  <c r="AP29" i="9"/>
  <c r="AP28" i="9"/>
  <c r="J21" i="9"/>
  <c r="N107" i="9" l="1"/>
  <c r="L42" i="5" s="1"/>
  <c r="N106" i="9"/>
  <c r="L41" i="5" s="1"/>
  <c r="N104" i="9"/>
  <c r="L39" i="5" s="1"/>
  <c r="N88" i="9"/>
  <c r="L23" i="5" s="1"/>
  <c r="N90" i="9"/>
  <c r="L25" i="5" s="1"/>
  <c r="N91" i="9"/>
  <c r="L26" i="5" s="1"/>
  <c r="N123" i="9"/>
  <c r="K86" i="9"/>
  <c r="K87" i="9"/>
  <c r="AH27" i="9"/>
  <c r="N154" i="9"/>
  <c r="L89" i="5" s="1"/>
  <c r="AP66" i="9"/>
  <c r="AP67" i="9" s="1"/>
  <c r="N150" i="9"/>
  <c r="L85" i="5" s="1"/>
  <c r="N151" i="9"/>
  <c r="L86" i="5" s="1"/>
  <c r="N146" i="9"/>
  <c r="L81" i="5" s="1"/>
  <c r="N152" i="9"/>
  <c r="L87" i="5" s="1"/>
  <c r="N147" i="9"/>
  <c r="L82" i="5" s="1"/>
  <c r="AD77" i="1"/>
  <c r="AD66" i="1"/>
  <c r="AD66" i="9" s="1"/>
  <c r="N86" i="9" l="1"/>
  <c r="L21" i="5" s="1"/>
  <c r="N87" i="9"/>
  <c r="L22" i="5" s="1"/>
  <c r="J77" i="1"/>
  <c r="J66" i="1"/>
  <c r="J66" i="9" s="1"/>
  <c r="Q28" i="1" l="1"/>
  <c r="Q29" i="1"/>
  <c r="Q30" i="1"/>
  <c r="Q31" i="1"/>
  <c r="Q32" i="1"/>
  <c r="Q33" i="1"/>
  <c r="Q34" i="1"/>
  <c r="Q35" i="1"/>
  <c r="Q76" i="1" l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D79" i="7" l="1"/>
  <c r="C79" i="7"/>
  <c r="D78" i="7"/>
  <c r="C78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7" i="7"/>
  <c r="C67" i="7"/>
  <c r="D66" i="7"/>
  <c r="C66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C13" i="7" s="1" a="1"/>
  <c r="C13" i="7" s="1"/>
  <c r="E8" i="7"/>
  <c r="E5" i="7"/>
  <c r="E16" i="6"/>
  <c r="E15" i="6"/>
  <c r="E14" i="6"/>
  <c r="E13" i="6"/>
  <c r="D8" i="6"/>
  <c r="D5" i="6"/>
  <c r="D12" i="5"/>
  <c r="K77" i="1"/>
  <c r="I77" i="1"/>
  <c r="E77" i="1"/>
  <c r="AI76" i="1"/>
  <c r="AI75" i="1"/>
  <c r="AI74" i="1"/>
  <c r="AI73" i="1"/>
  <c r="AI72" i="1"/>
  <c r="K66" i="1"/>
  <c r="K66" i="9" s="1"/>
  <c r="I66" i="1"/>
  <c r="I66" i="9" s="1"/>
  <c r="E66" i="1"/>
  <c r="E66" i="9" s="1"/>
  <c r="E78" i="9" s="1"/>
  <c r="D66" i="1"/>
  <c r="D66" i="9" s="1"/>
  <c r="C66" i="1"/>
  <c r="C66" i="9" s="1"/>
  <c r="AI65" i="1"/>
  <c r="F79" i="7" s="1"/>
  <c r="AI64" i="1"/>
  <c r="F78" i="7" s="1"/>
  <c r="AI63" i="1"/>
  <c r="F77" i="7" s="1"/>
  <c r="AI62" i="1"/>
  <c r="F76" i="7" s="1"/>
  <c r="AI61" i="1"/>
  <c r="F75" i="7" s="1"/>
  <c r="AI60" i="1"/>
  <c r="F74" i="7" s="1"/>
  <c r="AI59" i="1"/>
  <c r="F73" i="7" s="1"/>
  <c r="AI58" i="1"/>
  <c r="F72" i="7" s="1"/>
  <c r="AI57" i="1"/>
  <c r="F71" i="7" s="1"/>
  <c r="AI56" i="1"/>
  <c r="F70" i="7" s="1"/>
  <c r="AI55" i="1"/>
  <c r="F69" i="7" s="1"/>
  <c r="AI54" i="1"/>
  <c r="F68" i="7" s="1"/>
  <c r="AI53" i="1"/>
  <c r="F67" i="7" s="1"/>
  <c r="AI52" i="1"/>
  <c r="F66" i="7" s="1"/>
  <c r="AI51" i="1"/>
  <c r="F65" i="7" s="1"/>
  <c r="AI50" i="1"/>
  <c r="F64" i="7" s="1"/>
  <c r="AI49" i="1"/>
  <c r="F63" i="7" s="1"/>
  <c r="AI48" i="1"/>
  <c r="F62" i="7" s="1"/>
  <c r="AI47" i="1"/>
  <c r="F61" i="7" s="1"/>
  <c r="AI46" i="1"/>
  <c r="F60" i="7" s="1"/>
  <c r="AI45" i="1"/>
  <c r="F59" i="7" s="1"/>
  <c r="AI44" i="1"/>
  <c r="F58" i="7" s="1"/>
  <c r="AI43" i="1"/>
  <c r="F57" i="7" s="1"/>
  <c r="AI42" i="1"/>
  <c r="F56" i="7" s="1"/>
  <c r="AI41" i="1"/>
  <c r="F55" i="7" s="1"/>
  <c r="AI40" i="1"/>
  <c r="F54" i="7" s="1"/>
  <c r="AI39" i="1"/>
  <c r="F53" i="7" s="1"/>
  <c r="AI38" i="1"/>
  <c r="F52" i="7" s="1"/>
  <c r="AI37" i="1"/>
  <c r="F51" i="7" s="1"/>
  <c r="AI36" i="1"/>
  <c r="F50" i="7" s="1"/>
  <c r="AI35" i="1"/>
  <c r="F49" i="7" s="1"/>
  <c r="AI34" i="1"/>
  <c r="F48" i="7" s="1"/>
  <c r="AI33" i="1"/>
  <c r="F47" i="7" s="1"/>
  <c r="AI32" i="1"/>
  <c r="F46" i="7" s="1"/>
  <c r="AI31" i="1"/>
  <c r="F45" i="7" s="1"/>
  <c r="AI30" i="1"/>
  <c r="F44" i="7" s="1"/>
  <c r="AI29" i="1"/>
  <c r="F43" i="7" s="1"/>
  <c r="AI28" i="1"/>
  <c r="F42" i="7" s="1"/>
  <c r="AI27" i="1"/>
  <c r="F41" i="7" s="1"/>
  <c r="AI26" i="1"/>
  <c r="F40" i="7" s="1"/>
  <c r="AI25" i="1"/>
  <c r="F39" i="7" s="1"/>
  <c r="AI24" i="1"/>
  <c r="F38" i="7" s="1"/>
  <c r="AI23" i="1"/>
  <c r="F37" i="7" s="1"/>
  <c r="AI22" i="1"/>
  <c r="F36" i="7" s="1"/>
  <c r="AI21" i="1"/>
  <c r="D7" i="6"/>
  <c r="AP68" i="9" l="1"/>
  <c r="B21" i="5"/>
  <c r="B71" i="5"/>
  <c r="B73" i="5"/>
  <c r="B75" i="5"/>
  <c r="B77" i="5"/>
  <c r="B79" i="5"/>
  <c r="B81" i="5"/>
  <c r="B83" i="5"/>
  <c r="B85" i="5"/>
  <c r="B87" i="5"/>
  <c r="B89" i="5"/>
  <c r="B70" i="5"/>
  <c r="B72" i="5"/>
  <c r="B74" i="5"/>
  <c r="B76" i="5"/>
  <c r="B78" i="5"/>
  <c r="B80" i="5"/>
  <c r="B82" i="5"/>
  <c r="B84" i="5"/>
  <c r="B86" i="5"/>
  <c r="B88" i="5"/>
  <c r="E17" i="6"/>
  <c r="B53" i="5"/>
  <c r="B26" i="5"/>
  <c r="B50" i="5"/>
  <c r="B45" i="5"/>
  <c r="B24" i="5"/>
  <c r="B27" i="5"/>
  <c r="B35" i="5"/>
  <c r="B43" i="5"/>
  <c r="B51" i="5"/>
  <c r="B59" i="5"/>
  <c r="B42" i="5"/>
  <c r="B67" i="5"/>
  <c r="B66" i="5"/>
  <c r="B69" i="5"/>
  <c r="B34" i="5"/>
  <c r="B37" i="5"/>
  <c r="B61" i="5"/>
  <c r="B32" i="5"/>
  <c r="B22" i="5"/>
  <c r="B30" i="5"/>
  <c r="B38" i="5"/>
  <c r="B46" i="5"/>
  <c r="B54" i="5"/>
  <c r="B65" i="5"/>
  <c r="B25" i="5"/>
  <c r="B33" i="5"/>
  <c r="B41" i="5"/>
  <c r="B49" i="5"/>
  <c r="B57" i="5"/>
  <c r="B62" i="5"/>
  <c r="B58" i="5"/>
  <c r="B63" i="5"/>
  <c r="B29" i="5"/>
  <c r="B40" i="5"/>
  <c r="B48" i="5"/>
  <c r="B56" i="5"/>
  <c r="B28" i="5"/>
  <c r="B36" i="5"/>
  <c r="B44" i="5"/>
  <c r="B52" i="5"/>
  <c r="B60" i="5"/>
  <c r="B64" i="5"/>
  <c r="B68" i="5"/>
  <c r="B23" i="5"/>
  <c r="B31" i="5"/>
  <c r="B39" i="5"/>
  <c r="B47" i="5"/>
  <c r="B55" i="5"/>
  <c r="AI77" i="1"/>
  <c r="AI78" i="1" s="1"/>
  <c r="AI68" i="1"/>
  <c r="E78" i="1"/>
  <c r="AI66" i="1"/>
  <c r="F35" i="7"/>
  <c r="F80" i="7" s="1"/>
  <c r="E18" i="6"/>
  <c r="C14" i="7" a="1"/>
  <c r="C14" i="7" s="1"/>
  <c r="E7" i="7"/>
  <c r="AI67" i="1" l="1"/>
  <c r="AL66" i="9"/>
  <c r="E24" i="6"/>
  <c r="E13" i="7"/>
  <c r="E14" i="7"/>
  <c r="C15" i="7" a="1"/>
  <c r="C15" i="7" s="1"/>
  <c r="E15" i="7" s="1"/>
  <c r="C16" i="7" l="1" a="1"/>
  <c r="C16" i="7" s="1"/>
  <c r="E16" i="7" s="1"/>
  <c r="C17" i="7" l="1" a="1"/>
  <c r="C17" i="7" s="1"/>
  <c r="E17" i="7" s="1"/>
  <c r="L100" i="5" l="1"/>
  <c r="L102" i="5" s="1"/>
  <c r="L107" i="5" s="1"/>
  <c r="C18" i="7" a="1"/>
  <c r="C18" i="7" s="1"/>
  <c r="E18" i="7" s="1"/>
  <c r="C19" i="7" l="1" a="1"/>
  <c r="C19" i="7" s="1"/>
  <c r="E19" i="7" l="1"/>
  <c r="C20" i="7" a="1"/>
  <c r="C20" i="7" s="1"/>
  <c r="E20" i="7" l="1"/>
  <c r="C21" i="7" a="1"/>
  <c r="C21" i="7" s="1"/>
  <c r="E21" i="7" s="1"/>
  <c r="E22" i="7" l="1"/>
</calcChain>
</file>

<file path=xl/sharedStrings.xml><?xml version="1.0" encoding="utf-8"?>
<sst xmlns="http://schemas.openxmlformats.org/spreadsheetml/2006/main" count="761" uniqueCount="387">
  <si>
    <t>«УЛЬТРА»</t>
  </si>
  <si>
    <t xml:space="preserve">                 </t>
  </si>
  <si>
    <t>095 817 09 96 МТС, 093 539 99 06 Life</t>
  </si>
  <si>
    <t>№ п/п</t>
  </si>
  <si>
    <t>Дата приема</t>
  </si>
  <si>
    <t>Дата сдачи</t>
  </si>
  <si>
    <t>кол-во</t>
  </si>
  <si>
    <t>цена</t>
  </si>
  <si>
    <t>Итого</t>
  </si>
  <si>
    <t>Всего по заказу,грн</t>
  </si>
  <si>
    <t>%</t>
  </si>
  <si>
    <t>Предоплата,грн</t>
  </si>
  <si>
    <t>Остаток,грн</t>
  </si>
  <si>
    <t>Размеры, количество и тип покраски утверждаю ___________________________</t>
  </si>
  <si>
    <t>Заказ принял, к количеству и качеству претензий не имею__________________</t>
  </si>
  <si>
    <t>Всего деталей</t>
  </si>
  <si>
    <t>COLOR</t>
  </si>
  <si>
    <t>РАСЧЕТ ПО ЗАКАЗУ</t>
  </si>
  <si>
    <t>Дата</t>
  </si>
  <si>
    <t>e-mail</t>
  </si>
  <si>
    <t>Тип покрытия</t>
  </si>
  <si>
    <t>R=1,5</t>
  </si>
  <si>
    <t>R=2</t>
  </si>
  <si>
    <t>R=3</t>
  </si>
  <si>
    <t>R=5</t>
  </si>
  <si>
    <t>R=10</t>
  </si>
  <si>
    <t>Мыло</t>
  </si>
  <si>
    <t>Ступ.</t>
  </si>
  <si>
    <t>e-mail: info@ultrafasad.com</t>
  </si>
  <si>
    <t>сайт:http://ultrafasad.com</t>
  </si>
  <si>
    <t>МДФ</t>
  </si>
  <si>
    <t>RAL</t>
  </si>
  <si>
    <t>NCS</t>
  </si>
  <si>
    <t>MOBIHEL</t>
  </si>
  <si>
    <t>AUTOCOLOR</t>
  </si>
  <si>
    <t>UNICOLOR</t>
  </si>
  <si>
    <t>фабрика меблевих фасадів</t>
  </si>
  <si>
    <t>068 775 28 77 КиЇвСтар</t>
  </si>
  <si>
    <t>серія</t>
  </si>
  <si>
    <t xml:space="preserve">Замовник (Компанія, ПІБ) </t>
  </si>
  <si>
    <t>Контактні телефони</t>
  </si>
  <si>
    <t>Місто</t>
  </si>
  <si>
    <t>ЗАМОВЛЕННЯ №</t>
  </si>
  <si>
    <t>( Номер замовлення заповнює "Ультра" )</t>
  </si>
  <si>
    <t>ВАЖЛИВО! Цей товар обміну та поверненню НЕ ПІДЛЯГАЄ.</t>
  </si>
  <si>
    <t>У стовпці "Примітка" вказуйте всі не стандартні роботи, а також Карнизи, Чверть 10х4, Грати та ін.</t>
  </si>
  <si>
    <t>При дозамовленні фарбованих фасадів попадання у колір НЕ ГАРАНТУЄТЬСЯ.</t>
  </si>
  <si>
    <t>Зміна розмірів, товщини, кольору, типу фарбування після погодження замовлення НЕМОЖЛИВО. Лише оформлення нового замовлення.</t>
  </si>
  <si>
    <t>Примітка</t>
  </si>
  <si>
    <t>Висота (розмір по вертикалі), мм</t>
  </si>
  <si>
    <t>Кіл-ть, шт</t>
  </si>
  <si>
    <t>Ширина (розмір по горизонталі), мм</t>
  </si>
  <si>
    <t>Товщина МДФ, мм</t>
  </si>
  <si>
    <t>Ручка тип "J" збоку</t>
  </si>
  <si>
    <t>Колір фарби за каталогом</t>
  </si>
  <si>
    <t>Спецефект</t>
  </si>
  <si>
    <t>Зворотня сторона</t>
  </si>
  <si>
    <t>Площа,м²</t>
  </si>
  <si>
    <t xml:space="preserve">Фрезерування кромки в мм </t>
  </si>
  <si>
    <t>Лицьова сторона</t>
  </si>
  <si>
    <t>J № 1</t>
  </si>
  <si>
    <t>J № 2</t>
  </si>
  <si>
    <t>J № 3</t>
  </si>
  <si>
    <t>J № 4</t>
  </si>
  <si>
    <t>J № 5</t>
  </si>
  <si>
    <t>J № 6</t>
  </si>
  <si>
    <t>J № 7</t>
  </si>
  <si>
    <t>J № 2L</t>
  </si>
  <si>
    <t>J № 3L</t>
  </si>
  <si>
    <t>J № 4L</t>
  </si>
  <si>
    <t>J № 5L</t>
  </si>
  <si>
    <t>J № 2R</t>
  </si>
  <si>
    <t>J № 3R</t>
  </si>
  <si>
    <t>J № 4R</t>
  </si>
  <si>
    <t>J № 5R</t>
  </si>
  <si>
    <t>Од.вим.</t>
  </si>
  <si>
    <t xml:space="preserve">Ручка </t>
  </si>
  <si>
    <t>45 град.</t>
  </si>
  <si>
    <t>м.п.</t>
  </si>
  <si>
    <t>шт.</t>
  </si>
  <si>
    <t>шт./м.п.</t>
  </si>
  <si>
    <t>Плоские 10,16</t>
  </si>
  <si>
    <t>Плоские 19</t>
  </si>
  <si>
    <t>Ціну наведено у гривні за 1 м.кв</t>
  </si>
  <si>
    <t>Радиусні R284 мм, R300 мм; товщина МДФ 16 мм</t>
  </si>
  <si>
    <t>Примітки:</t>
  </si>
  <si>
    <t>1.</t>
  </si>
  <si>
    <t>Фасади виготовляються за будь-якими розмірами Замовника</t>
  </si>
  <si>
    <t>2.</t>
  </si>
  <si>
    <t>Замовлення приймаються ТІЛЬКИ на фірмових бланках</t>
  </si>
  <si>
    <t>3.</t>
  </si>
  <si>
    <t>4.</t>
  </si>
  <si>
    <t>5.</t>
  </si>
  <si>
    <t>6.</t>
  </si>
  <si>
    <t>7.</t>
  </si>
  <si>
    <t>Додаткові операції</t>
  </si>
  <si>
    <t>Виготовлення вітрини у плоскому фасаді, ширина поля 65 мм</t>
  </si>
  <si>
    <t>Вибірка під скло, ширина 10 мм, глибина 4 мм</t>
  </si>
  <si>
    <t>Фрезерування отвору під петлю 35 мм</t>
  </si>
  <si>
    <t>Потовщення плоскої деталі методом склеювання МДФ завтовшки шару +6 мм,
+8 мм, +10 мм, +16 мм, +19 мм</t>
  </si>
  <si>
    <t>Коефіцієнт на погонаж***</t>
  </si>
  <si>
    <t xml:space="preserve"> грн/м.пог</t>
  </si>
  <si>
    <t>до вартості за 1 м.кв</t>
  </si>
  <si>
    <t>грн/м.пог</t>
  </si>
  <si>
    <t>РОЗМІРИ ДЕТАЛЕЙ (РАДІУСНІ)</t>
  </si>
  <si>
    <t>Важливо!!!</t>
  </si>
  <si>
    <t>Фасади, розташовані один над одним (в одну лінію), необхідно відзначити у примітці та надати креслення-схему!</t>
  </si>
  <si>
    <t>Ламінат</t>
  </si>
  <si>
    <t>Матове</t>
  </si>
  <si>
    <t>Глянець</t>
  </si>
  <si>
    <t>склейка</t>
  </si>
  <si>
    <t>Пряма з чвертю</t>
  </si>
  <si>
    <t>Пряма без чверті</t>
  </si>
  <si>
    <t>Вітрина</t>
  </si>
  <si>
    <t>Отвір під петлю (35 мм)</t>
  </si>
  <si>
    <t>Фарбування тільної сторони</t>
  </si>
  <si>
    <t>Ні</t>
  </si>
  <si>
    <t>Фарбування тильної сторони</t>
  </si>
  <si>
    <t>30 мм</t>
  </si>
  <si>
    <t>50 мм</t>
  </si>
  <si>
    <t>100 мм</t>
  </si>
  <si>
    <t>НІ</t>
  </si>
  <si>
    <t>Так</t>
  </si>
  <si>
    <t>Кіл-ть</t>
  </si>
  <si>
    <t>16мм</t>
  </si>
  <si>
    <t>19 мм</t>
  </si>
  <si>
    <t>Рахунок на виготовлення ФАРБОВАНИХ фасадів</t>
  </si>
  <si>
    <t>ЗАМОВЛЕННЯ №:</t>
  </si>
  <si>
    <t>Наёменування</t>
  </si>
  <si>
    <t>Сума, грн.</t>
  </si>
  <si>
    <t>Ціна за од.</t>
  </si>
  <si>
    <t>% знижки:</t>
  </si>
  <si>
    <t>Разом,грн.</t>
  </si>
  <si>
    <t>Размо зі знижкою, грн.</t>
  </si>
  <si>
    <t>Передплата, грн.</t>
  </si>
  <si>
    <t>Залишок,грн.</t>
  </si>
  <si>
    <t>Дата:</t>
  </si>
  <si>
    <t>Замовник (Компанія, ПІБ):</t>
  </si>
  <si>
    <t>Контактні телефони:</t>
  </si>
  <si>
    <t>Місто:</t>
  </si>
  <si>
    <t>e-mail:</t>
  </si>
  <si>
    <t>Ручка тип "J" пряма</t>
  </si>
  <si>
    <t>Ручка тип "J" тупікова</t>
  </si>
  <si>
    <t>Ручка 45 град</t>
  </si>
  <si>
    <t>чотири</t>
  </si>
  <si>
    <t>шість</t>
  </si>
  <si>
    <t>вісім</t>
  </si>
  <si>
    <t>десять</t>
  </si>
  <si>
    <t>шістнадцять</t>
  </si>
  <si>
    <t>МДФ 4 мм</t>
  </si>
  <si>
    <t>МДФ 6 мм</t>
  </si>
  <si>
    <t>МДФ 8 мм</t>
  </si>
  <si>
    <t>МДФ 10 мм</t>
  </si>
  <si>
    <t>МДФ 16 мм</t>
  </si>
  <si>
    <t>МДФ 19 мм</t>
  </si>
  <si>
    <t>м.кв.</t>
  </si>
  <si>
    <t>Заявка на материал МДФ №:</t>
  </si>
  <si>
    <t>Заявка на краску №:</t>
  </si>
  <si>
    <t>Расход на 1 м.кв./л.</t>
  </si>
  <si>
    <t>л.</t>
  </si>
  <si>
    <t>Разом, л:</t>
  </si>
  <si>
    <t>Заявка на виготовлення ФРЕЗЕРОВАНИХ фасадів</t>
  </si>
  <si>
    <t>Плоскі, 16 мм</t>
  </si>
  <si>
    <t>Плоскі, 19 мм</t>
  </si>
  <si>
    <t>Радіусні R284 мм, R300 мм; товщина МДФ 19 мм</t>
  </si>
  <si>
    <t>8.</t>
  </si>
  <si>
    <t>Форма фасаду,Фрезерований за каталогом Ультра №… або Гладкий</t>
  </si>
  <si>
    <t>Патина Колір за каталогом "Ультра"</t>
  </si>
  <si>
    <t>Покриття лицьової сторони: ШПОН Дуб,Фарба</t>
  </si>
  <si>
    <t>м/п</t>
  </si>
  <si>
    <t>грн</t>
  </si>
  <si>
    <t>Фарбування ручки тип "J" в інший колір</t>
  </si>
  <si>
    <t>Шпон назва</t>
  </si>
  <si>
    <t>Шпон Артикул</t>
  </si>
  <si>
    <t>Лицьова сторона (тактильний ефект)</t>
  </si>
  <si>
    <t>Зворотня сторона (тактильний ефект)</t>
  </si>
  <si>
    <t>Шпон       Дуб / Ясень</t>
  </si>
  <si>
    <t>Отвір під навіси (35 мм), шт</t>
  </si>
  <si>
    <t>Навіси по
стороні, мм</t>
  </si>
  <si>
    <t>Вітрина
(тип)</t>
  </si>
  <si>
    <t>Шпонована
вставка в
ручку j
(назва шпону)</t>
  </si>
  <si>
    <t>Цвет краски по каталогу: RAL, NCS
Тонировка
(морилка) по каталогу "Ультра"</t>
  </si>
  <si>
    <t>Зворотня сторона
(тип фарбування)</t>
  </si>
  <si>
    <t>Лицьова сторона
(тип фарбування)</t>
  </si>
  <si>
    <t>095 817 09 96 МТС</t>
  </si>
  <si>
    <t>FINE-LINE</t>
  </si>
  <si>
    <t>Тактильный эффект</t>
  </si>
  <si>
    <t>Закрита пора</t>
  </si>
  <si>
    <t>Відкрита пора</t>
  </si>
  <si>
    <t>З чвертю</t>
  </si>
  <si>
    <t>Нема</t>
  </si>
  <si>
    <t>Без чверті</t>
  </si>
  <si>
    <t>Найменування</t>
  </si>
  <si>
    <t>Артикул</t>
  </si>
  <si>
    <t>Категорія</t>
  </si>
  <si>
    <t>ДУБ ВИБІЛЕНИЙ</t>
  </si>
  <si>
    <t>DAB-X05/SP</t>
  </si>
  <si>
    <t>ДУБ КЛАСИЧНИЙ</t>
  </si>
  <si>
    <t>DACP-X07/SP</t>
  </si>
  <si>
    <t>ДУБ СІЛЬВЕР</t>
  </si>
  <si>
    <t>DAS-Y54/RP</t>
  </si>
  <si>
    <t>ДУБ СІЛЬВЕР ФЛАЙДЕР</t>
  </si>
  <si>
    <t>DASF 63/S3F</t>
  </si>
  <si>
    <t>ДУБ КАРДИНАЛ</t>
  </si>
  <si>
    <t>DACA-X35/SP</t>
  </si>
  <si>
    <t>ДУБ ПАСТЕЛЬНИЙ</t>
  </si>
  <si>
    <t>DAPS-Y29/SP</t>
  </si>
  <si>
    <t>ДУБ ГРАФІТ</t>
  </si>
  <si>
    <t>DAG-Y47/SP</t>
  </si>
  <si>
    <t>ТІК</t>
  </si>
  <si>
    <t>TK-Y39/DP</t>
  </si>
  <si>
    <t>ДЕРЕВО САНДАЛОВЕ</t>
  </si>
  <si>
    <t>DS-X04/SP</t>
  </si>
  <si>
    <t>ГОРІХ БАЛТИМОР</t>
  </si>
  <si>
    <t>ORB-Y65</t>
  </si>
  <si>
    <t>ВЕНГЕ КЛАСИЧНИЙ</t>
  </si>
  <si>
    <t>WECL-X13/SP</t>
  </si>
  <si>
    <t>ВЕНГЕ ЛУІЗІАНА</t>
  </si>
  <si>
    <t>WEL-X17/SP</t>
  </si>
  <si>
    <t>ВЕНГЕ АМАРЕТТО</t>
  </si>
  <si>
    <t>WEAM-Y40/DP</t>
  </si>
  <si>
    <t>ХЕБАН ЦЕЙЛОН</t>
  </si>
  <si>
    <t>HEC-Y30/SP</t>
  </si>
  <si>
    <t>ХЕБАН МАКАСАР ЛЮКС</t>
  </si>
  <si>
    <t>HEML-Y60/SP</t>
  </si>
  <si>
    <t>ХЕБАН МАКАСАР</t>
  </si>
  <si>
    <t>HEM-X21/SP</t>
  </si>
  <si>
    <t>ХЕБАН АМАРОНЕ</t>
  </si>
  <si>
    <t>HEA-Y36/DP</t>
  </si>
  <si>
    <t>ЧЕРЕШНЯ АМЕРИКАНСЬКА</t>
  </si>
  <si>
    <t>CZA-Y44/D4F</t>
  </si>
  <si>
    <t>ЗЕБРАНО Б'ЯНКО</t>
  </si>
  <si>
    <t>ZEB-Y41/DP</t>
  </si>
  <si>
    <t>ЗЕБРАНО КАПУЧИНО</t>
  </si>
  <si>
    <t>ZEC-X18/SP</t>
  </si>
  <si>
    <t>ЗЕБРАНО ЧОРНЕ</t>
  </si>
  <si>
    <t>ZECZ-Y19/SP</t>
  </si>
  <si>
    <t>уточнювати</t>
  </si>
  <si>
    <t>ОЛИВКА АРДЖЕНТО</t>
  </si>
  <si>
    <t>OLA-Y33/SP</t>
  </si>
  <si>
    <t>ОЛИВКА БОЛІВІЯ</t>
  </si>
  <si>
    <t>OLB-Y01/SP</t>
  </si>
  <si>
    <t>ОЛИВКА МАЛАГА</t>
  </si>
  <si>
    <t>OLM-Y52/HP</t>
  </si>
  <si>
    <t>ОЛИВКА ПРИМА</t>
  </si>
  <si>
    <t>OLP-X28/HP</t>
  </si>
  <si>
    <t>ОЛИВКА СЕВІЛЬЯ</t>
  </si>
  <si>
    <t>OLS-X26/HP</t>
  </si>
  <si>
    <t>ПАЛІСАНДР РІО</t>
  </si>
  <si>
    <t>PR-Y02/SF</t>
  </si>
  <si>
    <t>ПАЛІСАНДР БРАЗИЛЬСЬКИЙ</t>
  </si>
  <si>
    <t>PB-Y45/SF</t>
  </si>
  <si>
    <t>Підбір</t>
  </si>
  <si>
    <t>РОЗМІРИ ДЕТАЛЕЙ (ПЛОСКІ)</t>
  </si>
  <si>
    <t>Категория</t>
  </si>
  <si>
    <t>Шпоновані плоскі меблеві фасади з МДФ</t>
  </si>
  <si>
    <t>Серія "Fine Line"</t>
  </si>
  <si>
    <t>Тип покриття</t>
  </si>
  <si>
    <t>Катего
рія</t>
  </si>
  <si>
    <r>
      <t xml:space="preserve">Лицьова – шпон </t>
    </r>
    <r>
      <rPr>
        <b/>
        <sz val="11"/>
        <rFont val="Arial"/>
        <family val="2"/>
        <charset val="204"/>
      </rPr>
      <t>матовий відкрита пора</t>
    </r>
    <r>
      <rPr>
        <sz val="11"/>
        <rFont val="Arial"/>
        <family val="2"/>
        <charset val="204"/>
      </rPr>
      <t>;
Зворотня - білий ламінат</t>
    </r>
  </si>
  <si>
    <r>
      <t xml:space="preserve">Лицьова - шпон </t>
    </r>
    <r>
      <rPr>
        <b/>
        <sz val="11"/>
        <rFont val="Arial"/>
        <family val="2"/>
        <charset val="204"/>
      </rPr>
      <t>матова закрита пора</t>
    </r>
    <r>
      <rPr>
        <sz val="11"/>
        <rFont val="Arial"/>
        <family val="2"/>
        <charset val="204"/>
      </rPr>
      <t>;
Зворотня - білий ламінат</t>
    </r>
  </si>
  <si>
    <r>
      <t xml:space="preserve">Лицьова – шпон </t>
    </r>
    <r>
      <rPr>
        <b/>
        <sz val="11"/>
        <rFont val="Arial"/>
        <family val="2"/>
        <charset val="204"/>
      </rPr>
      <t>глянець закрита пора</t>
    </r>
    <r>
      <rPr>
        <sz val="11"/>
        <rFont val="Arial"/>
        <family val="2"/>
        <charset val="204"/>
      </rPr>
      <t>;
Зворотня - білий ламінат</t>
    </r>
  </si>
  <si>
    <r>
      <t xml:space="preserve">Лицьова – шпон </t>
    </r>
    <r>
      <rPr>
        <b/>
        <sz val="11"/>
        <rFont val="Arial"/>
        <family val="2"/>
        <charset val="204"/>
      </rPr>
      <t>матовий відкрита пора</t>
    </r>
    <r>
      <rPr>
        <sz val="11"/>
        <rFont val="Arial"/>
        <family val="2"/>
        <charset val="204"/>
      </rPr>
      <t xml:space="preserve">;
Зворотня - шпон </t>
    </r>
    <r>
      <rPr>
        <b/>
        <sz val="11"/>
        <rFont val="Arial"/>
        <family val="2"/>
        <charset val="204"/>
      </rPr>
      <t>матовий відкрита пора</t>
    </r>
  </si>
  <si>
    <r>
      <t xml:space="preserve">Лицьова - шпон, </t>
    </r>
    <r>
      <rPr>
        <b/>
        <sz val="11"/>
        <rFont val="Arial"/>
        <family val="2"/>
        <charset val="204"/>
      </rPr>
      <t>матовий закрита пора</t>
    </r>
    <r>
      <rPr>
        <sz val="11"/>
        <rFont val="Arial"/>
        <family val="2"/>
        <charset val="204"/>
      </rPr>
      <t xml:space="preserve">;
Зворотня - шпон </t>
    </r>
    <r>
      <rPr>
        <b/>
        <sz val="11"/>
        <rFont val="Arial"/>
        <family val="2"/>
        <charset val="204"/>
      </rPr>
      <t>матовий відкрита пора</t>
    </r>
  </si>
  <si>
    <r>
      <t xml:space="preserve">Лицьова - шпон, </t>
    </r>
    <r>
      <rPr>
        <b/>
        <sz val="11"/>
        <rFont val="Arial"/>
        <family val="2"/>
        <charset val="204"/>
      </rPr>
      <t>глянець закрита пора</t>
    </r>
    <r>
      <rPr>
        <sz val="11"/>
        <rFont val="Arial"/>
        <family val="2"/>
        <charset val="204"/>
      </rPr>
      <t xml:space="preserve">;
Зворотня - шпон </t>
    </r>
    <r>
      <rPr>
        <b/>
        <sz val="11"/>
        <rFont val="Arial"/>
        <family val="2"/>
        <charset val="204"/>
      </rPr>
      <t>матовий відкрита пора</t>
    </r>
  </si>
  <si>
    <t>Замовлення площею менш ніж 1 м. кв оцінюється як 1 м. кв</t>
  </si>
  <si>
    <t>Фрезерування шпонованих фасадів під фільонку технологічно неможливе</t>
  </si>
  <si>
    <t>Максимальний габарит плоскої деталі 2450х1280 мм</t>
  </si>
  <si>
    <t>З метою зменшення короблення та прогину деталей облицювання шпоном рекомендується виконувати лише 2-х стороннім</t>
  </si>
  <si>
    <r>
      <t xml:space="preserve">Вибірка під скло (чверть) </t>
    </r>
    <r>
      <rPr>
        <b/>
        <i/>
        <sz val="10"/>
        <rFont val="Arial"/>
        <family val="2"/>
        <charset val="204"/>
      </rPr>
      <t>не облицьовується</t>
    </r>
    <r>
      <rPr>
        <sz val="10"/>
        <rFont val="Arial"/>
        <family val="2"/>
        <charset val="204"/>
      </rPr>
      <t xml:space="preserve"> кромкою!</t>
    </r>
  </si>
  <si>
    <t>Виготовлення радіусних фасадів R284 мм, R300 мм максимальною висотою 2000 мм</t>
  </si>
  <si>
    <t>9.</t>
  </si>
  <si>
    <t>Виготовлення ручки тип "J" можливе у двох варіантах - шпонована за напрямком фрезерування ручки, або фарбована за каталогами RAL, NCS</t>
  </si>
  <si>
    <t>грн / шт</t>
  </si>
  <si>
    <t>Виготовлення вітрини у радіусному фасаді, ширина поля 65 мм</t>
  </si>
  <si>
    <t>Фрезерування під ручку тип "J" на плоскому фасаді (напрямок текстури шпону тільки за напрямком фрезерування ручки)</t>
  </si>
  <si>
    <t>грн / м.пог</t>
  </si>
  <si>
    <t>Фрезерування під ручку тип "J" на радіусному фасаді (напрямок текстури шпону тільки за напрямком фрезерування ручки)</t>
  </si>
  <si>
    <t>Виготовлення зразка на вимогу Замовника, розмір 200х150 мм</t>
  </si>
  <si>
    <t xml:space="preserve">
700 </t>
  </si>
  <si>
    <t>грн/м.кв</t>
  </si>
  <si>
    <t>Вартість потовщення одного шару</t>
  </si>
  <si>
    <t>Фрезерування під євро ручку типу "45 °" (тільки для плоских фасадів)</t>
  </si>
  <si>
    <t>Підбір текстури шпону (блоками розміром 2450х1280 мм)</t>
  </si>
  <si>
    <t>до вартості м.кв</t>
  </si>
  <si>
    <t>11</t>
  </si>
  <si>
    <t>Криволінійна порізка, товщина деталі до 19 мм.</t>
  </si>
  <si>
    <t xml:space="preserve">грн/м.пог
</t>
  </si>
  <si>
    <t>якщо потовщення</t>
  </si>
  <si>
    <t>Фарбування ручки "J" в інший колір (матове покриття за ціною глянцю)</t>
  </si>
  <si>
    <t>Виготовлення погонажу (планки від 20 до 100 мм, завдовжки до 2480 мм) МДФ 16/19 мм</t>
  </si>
  <si>
    <t>Виготовлення погонажу (планки від 20 до 100 мм, завдовжки до 2480 мм) МДФ 32/38 мм</t>
  </si>
  <si>
    <t>Шпон зі складу ФМФ "Ультра" (завжди в наявності)</t>
  </si>
  <si>
    <t>Каталог шпонів «WOODBOX» під лаком, 28 базових кольорів 650 грн за каталог</t>
  </si>
  <si>
    <t>ясень нат.</t>
  </si>
  <si>
    <t xml:space="preserve"> Покриття матове відкрита пора/ламінат, категорія 1, 16 мм</t>
  </si>
  <si>
    <t>м²</t>
  </si>
  <si>
    <t xml:space="preserve"> Покриття матове відкрита пора/ламінат, категорія 2, 16 мм</t>
  </si>
  <si>
    <t xml:space="preserve"> Покриття матове відкрита пора/ламінат, категорія 1, 19 мм</t>
  </si>
  <si>
    <t xml:space="preserve"> Покриття матове відкрита пора/ламінат, категорія 2, 19 мм</t>
  </si>
  <si>
    <t xml:space="preserve"> Покриття матове закрита пора/ламінат, категорія 1, 16 мм</t>
  </si>
  <si>
    <t xml:space="preserve"> Покриття матове закрита пора/ламінат, категорія 2, 16 мм</t>
  </si>
  <si>
    <t xml:space="preserve"> Покриття матове закрита пора/ламінат, категорія 1, 19 мм</t>
  </si>
  <si>
    <t xml:space="preserve"> Покриття матове закрита пора/ламінат, категорія 2, 19 мм</t>
  </si>
  <si>
    <t xml:space="preserve"> Покриття глянець закрита пора/ламінат, категорія 1, 16 мм</t>
  </si>
  <si>
    <t xml:space="preserve"> Покриття глянець закрита пора/ламінат, категорія 2, 16 мм</t>
  </si>
  <si>
    <t xml:space="preserve"> Покриття глянець закрита пора/ламінат, категорія 1, 19 мм</t>
  </si>
  <si>
    <t xml:space="preserve"> Покриття глянець закрита пора/ламінат, категорія 2, 19 мм</t>
  </si>
  <si>
    <t xml:space="preserve"> Покриття матове відкрита пора/матове відкрита пора, категорія 1, 16 мм</t>
  </si>
  <si>
    <t xml:space="preserve"> Покриття матове відкрита пора/матове відкрита пора, категорія 2, 16 мм</t>
  </si>
  <si>
    <t xml:space="preserve"> Покриття матове відкрита пора/матове відкрита пора, категорія 1, 19 мм</t>
  </si>
  <si>
    <t xml:space="preserve"> Покриття матове відкрита пора/матове відкрита пора, категорія 2, 19 мм</t>
  </si>
  <si>
    <t xml:space="preserve"> Покриття матове закрита пора/матове відкрита пора, категорія 1, 16 мм</t>
  </si>
  <si>
    <t xml:space="preserve"> Покриття матове закрита пора/матове відкрита пора, категорія 2, 16 мм</t>
  </si>
  <si>
    <t xml:space="preserve"> Покриття матове закрита пора/матове відкрита пора, категорія 1, 19 мм</t>
  </si>
  <si>
    <t xml:space="preserve"> Покриття матове закрита пора/матове відкрита пора, категорія 2, 19 мм</t>
  </si>
  <si>
    <t xml:space="preserve"> Покриття глянець закрита пора/матове відкрита пора, категорія 1, 16 мм</t>
  </si>
  <si>
    <t xml:space="preserve"> Покриття глянець закрита пора/матове відкрита пора, категорія 2, 16 мм</t>
  </si>
  <si>
    <t xml:space="preserve"> Покриття глянець закрита пора/матове відкрита пора, категорія 1, 19 мм</t>
  </si>
  <si>
    <t xml:space="preserve"> Покриття глянець закрита пора/матове відкрита пора, категорія 2, 19 мм</t>
  </si>
  <si>
    <t xml:space="preserve"> Покриття матове відкрита пора/ламінат, категорія 1, радіусний фасад 16 мм</t>
  </si>
  <si>
    <t xml:space="preserve"> Покриття матове відкрита пора/ламінат, категорія 2, радіусний фасад 16 мм</t>
  </si>
  <si>
    <t xml:space="preserve"> Покриття матове відкрита пора/ламінат, категорія 1, радіусний фасад 19 мм</t>
  </si>
  <si>
    <t xml:space="preserve"> Покриття матове відкрита пора/ламінат, категорія 2, радіусний фасад 19 мм</t>
  </si>
  <si>
    <t xml:space="preserve"> Покриття матове закрита пора/ламінат, категорія 1, радіусний фасад 16 мм</t>
  </si>
  <si>
    <t xml:space="preserve"> Покриття матове закрита пора/ламінат, категорія 2, радіусний фасад 16 мм</t>
  </si>
  <si>
    <t xml:space="preserve"> Покриття матове закрита пора/ламінат, категорія 1, радіусний фасад 19 мм</t>
  </si>
  <si>
    <t xml:space="preserve"> Покриття матове закрита пора/ламінат, категорія 2, радіусний фасад 19 мм</t>
  </si>
  <si>
    <t xml:space="preserve"> Покриття глянець закрита пора/ламінат, категорія 1, радіусний фасад 16 мм</t>
  </si>
  <si>
    <t xml:space="preserve"> Покриття глянець закрита пора/ламінат, категорія 2, радіусний фасад 16 мм</t>
  </si>
  <si>
    <t xml:space="preserve"> Покриття глянець закрита пора/ламінат, категорія 1, радіусний фасад 19 мм</t>
  </si>
  <si>
    <t xml:space="preserve"> Покриття глянець закрита пора/ламінат, категорія 2, радіусний фасад 19 мм</t>
  </si>
  <si>
    <t xml:space="preserve"> Покриття матове відкрита пора/матове відкрита пора, категорія 1, радіусний фасад 16 мм</t>
  </si>
  <si>
    <t xml:space="preserve"> Покриття матове відкрита пора/матове відкрита пора, категорія 2, радіусний фасад 16 мм</t>
  </si>
  <si>
    <t xml:space="preserve"> Покриття матове відкрита пора/матове відкрита пора, категорія 1, радіусний фасад 19 мм</t>
  </si>
  <si>
    <t xml:space="preserve"> Покриття матове відкрита пора/матове відкрита пора, категорія 2, радіусний фасад 19 мм</t>
  </si>
  <si>
    <t xml:space="preserve"> Покриття матове закрита пора/матове відкрита пора, категорія 1, радіусний фасад 16 мм</t>
  </si>
  <si>
    <t xml:space="preserve"> Покриття матове закрита пора/матове відкрита пора, категорія 2, радіусний фасад 16 мм</t>
  </si>
  <si>
    <t xml:space="preserve"> Покриття матове закрита пора/матове відкрита пора, категорія 1, радіусний фасад 19 мм</t>
  </si>
  <si>
    <t xml:space="preserve"> Покриття матове закрита пора/матове відкрита пора, категорія 2, радіусний фасад 19 мм</t>
  </si>
  <si>
    <t xml:space="preserve"> Покриття глянець закрита пора/матове відкрита пора, категорія 1, радіусний фасад 16 мм</t>
  </si>
  <si>
    <t xml:space="preserve"> Покриття глянець закрита пора/матове відкрита пора, категорія 2, радіусний фасад 16 мм</t>
  </si>
  <si>
    <t xml:space="preserve"> Покриття глянець закрита пора/матове відкрита пора, категорія 1, радіусний фасад 19 мм</t>
  </si>
  <si>
    <t xml:space="preserve"> Покриття глянець закрита пора/матове відкрита пора, категорія 2, радіусний фасад 19 мм</t>
  </si>
  <si>
    <t>Вітрина без чверті, плоский фасад</t>
  </si>
  <si>
    <t>Вітрина з чвертю, плоский фасад</t>
  </si>
  <si>
    <t>Вітрина радіусний фасад без чверті</t>
  </si>
  <si>
    <t>Вітрина радіусний фасад з чвертю</t>
  </si>
  <si>
    <t>Ручка тип "J" радіусний фасад</t>
  </si>
  <si>
    <t>Виготовлення зразка на вимогу замовника 200х150 мм</t>
  </si>
  <si>
    <t>Склейка</t>
  </si>
  <si>
    <t>Підбір текстури шпону</t>
  </si>
  <si>
    <t>Криволінійна порізка, твощина 19 мм</t>
  </si>
  <si>
    <t>Фарбування ручки J в інший колір</t>
  </si>
  <si>
    <t>Проверочные значения</t>
  </si>
  <si>
    <t>U</t>
  </si>
  <si>
    <t>L</t>
  </si>
  <si>
    <t>V</t>
  </si>
  <si>
    <t>AL</t>
  </si>
  <si>
    <t>AJ № 2</t>
  </si>
  <si>
    <t>AJ № 3</t>
  </si>
  <si>
    <t>AJ № 4</t>
  </si>
  <si>
    <t>AJ № 5</t>
  </si>
  <si>
    <t>AJ № 2L</t>
  </si>
  <si>
    <t>AJ № 3L</t>
  </si>
  <si>
    <t>AJ № 4L</t>
  </si>
  <si>
    <t>AJ № 5L</t>
  </si>
  <si>
    <t>AJ № 2R</t>
  </si>
  <si>
    <t>AJ № 3R</t>
  </si>
  <si>
    <t>AJ № 4R</t>
  </si>
  <si>
    <t>AJ № 5R</t>
  </si>
  <si>
    <t>Заявка на виготовлення ШПОНОВАНИХ фасадів</t>
  </si>
  <si>
    <t>Дата прийому</t>
  </si>
  <si>
    <t>Дата виготовлення*</t>
  </si>
  <si>
    <t>* Є орієнтовною, може коливатися 2-3 робочих дні, не включаючи доставку.</t>
  </si>
  <si>
    <t xml:space="preserve"> Покриття матове відкрита пора/ламінат, категорія 1, 22 мм</t>
  </si>
  <si>
    <t xml:space="preserve"> Покриття матове відкрита пора/ламінат, категорія 2, 22 мм</t>
  </si>
  <si>
    <t xml:space="preserve"> Покриття матове закрита пора/ламінат, категорія 1, 22 мм</t>
  </si>
  <si>
    <t xml:space="preserve"> Покриття матове закрита пора/ламінат, категорія 2, 22 мм</t>
  </si>
  <si>
    <t xml:space="preserve"> Покриття глянець закрита пора/ламінат, категорія 1, 22 мм</t>
  </si>
  <si>
    <t xml:space="preserve"> Покриття глянець закрита пора/ламінат, категорія 2, 22 мм</t>
  </si>
  <si>
    <t xml:space="preserve"> Покриття матове відкрита пора/матове відкрита пора, категорія 1, 22 мм</t>
  </si>
  <si>
    <t xml:space="preserve"> Покриття матове відкрита пора/матове відкрита пора, категорія 2, 22, мм</t>
  </si>
  <si>
    <t xml:space="preserve"> Покриття матове закрита пора/матове відкрита пора, категорія 1, 22 мм</t>
  </si>
  <si>
    <t xml:space="preserve"> Покриття матове закрита пора/матове відкрита пора, категорія 2, 22 мм</t>
  </si>
  <si>
    <t xml:space="preserve"> Покриття глянець закрита пора/матове відкрита пора, категорія 1, 22 мм</t>
  </si>
  <si>
    <t xml:space="preserve"> Покриття глянець закрита пора/матове відкрита пора, категорія 2, 22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</si>
</sst>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dd/mm/yy"/>
    <numFmt numFmtId="166" formatCode="[$-F800]dddd\,\ mmmm\ dd\,\ yyyy"/>
    <numFmt numFmtId="167" formatCode="0.0"/>
  </numFmts>
  <fonts count="31" x14ac:knownFonts="1"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color indexed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26"/>
      <name val="Arial"/>
      <family val="2"/>
      <charset val="204"/>
    </font>
    <font>
      <sz val="14"/>
      <name val="Arial"/>
      <family val="2"/>
      <charset val="204"/>
    </font>
    <font>
      <b/>
      <sz val="12"/>
      <color indexed="10"/>
      <name val="Arial"/>
      <family val="2"/>
      <charset val="204"/>
    </font>
    <font>
      <b/>
      <sz val="18"/>
      <name val="Arial"/>
      <family val="2"/>
      <charset val="204"/>
    </font>
    <font>
      <b/>
      <sz val="14"/>
      <color indexed="12"/>
      <name val="Arial"/>
      <family val="2"/>
      <charset val="204"/>
    </font>
    <font>
      <b/>
      <sz val="16"/>
      <name val="Arial"/>
      <family val="2"/>
      <charset val="204"/>
    </font>
    <font>
      <sz val="16"/>
      <name val="Arial"/>
      <family val="2"/>
      <charset val="204"/>
    </font>
    <font>
      <b/>
      <u/>
      <sz val="14"/>
      <color indexed="12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color indexed="18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i/>
      <sz val="12"/>
      <name val="Arial"/>
      <family val="2"/>
      <charset val="204"/>
    </font>
    <font>
      <sz val="12"/>
      <color indexed="10"/>
      <name val="Arial"/>
      <family val="2"/>
      <charset val="204"/>
    </font>
    <font>
      <sz val="12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u/>
      <sz val="10"/>
      <color indexed="12"/>
      <name val="Arial"/>
      <family val="2"/>
      <charset val="204"/>
    </font>
    <font>
      <b/>
      <sz val="20"/>
      <name val="Arial"/>
      <family val="2"/>
      <charset val="204"/>
    </font>
    <font>
      <b/>
      <sz val="22"/>
      <name val="Arial"/>
      <family val="2"/>
      <charset val="204"/>
    </font>
    <font>
      <u/>
      <sz val="11"/>
      <color rgb="FF1155CC"/>
      <name val="Arial"/>
      <family val="2"/>
      <charset val="204"/>
    </font>
    <font>
      <b/>
      <i/>
      <sz val="1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CE5C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8" fillId="0" borderId="0"/>
    <xf numFmtId="0" fontId="8" fillId="0" borderId="0"/>
  </cellStyleXfs>
  <cellXfs count="398">
    <xf numFmtId="0" fontId="0" fillId="0" borderId="0" xfId="0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/>
    <xf numFmtId="0" fontId="3" fillId="0" borderId="0" xfId="0" applyFont="1"/>
    <xf numFmtId="0" fontId="11" fillId="0" borderId="0" xfId="0" applyFont="1"/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11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8" fillId="3" borderId="0" xfId="0" applyFont="1" applyFill="1" applyAlignment="1">
      <alignment horizontal="left"/>
    </xf>
    <xf numFmtId="0" fontId="17" fillId="0" borderId="0" xfId="1" applyNumberFormat="1" applyFont="1" applyFill="1" applyBorder="1" applyAlignment="1" applyProtection="1">
      <alignment horizontal="right"/>
    </xf>
    <xf numFmtId="0" fontId="17" fillId="0" borderId="0" xfId="1" applyFont="1" applyBorder="1" applyAlignment="1" applyProtection="1">
      <alignment horizontal="right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wrapText="1"/>
    </xf>
    <xf numFmtId="164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1" fontId="5" fillId="0" borderId="1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4" fontId="3" fillId="0" borderId="0" xfId="0" applyNumberFormat="1" applyFont="1"/>
    <xf numFmtId="165" fontId="3" fillId="0" borderId="0" xfId="0" applyNumberFormat="1" applyFont="1"/>
    <xf numFmtId="164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0" fontId="19" fillId="0" borderId="0" xfId="0" applyFont="1"/>
    <xf numFmtId="0" fontId="5" fillId="0" borderId="0" xfId="0" applyFont="1" applyAlignment="1">
      <alignment horizontal="right"/>
    </xf>
    <xf numFmtId="1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21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right"/>
    </xf>
    <xf numFmtId="0" fontId="26" fillId="0" borderId="0" xfId="1" applyFont="1" applyBorder="1" applyAlignment="1" applyProtection="1">
      <alignment horizontal="right"/>
    </xf>
    <xf numFmtId="0" fontId="26" fillId="0" borderId="0" xfId="1" applyNumberFormat="1" applyFont="1" applyFill="1" applyBorder="1" applyAlignment="1" applyProtection="1">
      <alignment horizontal="right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0" fillId="0" borderId="1" xfId="0" applyBorder="1" applyAlignment="1">
      <alignment vertical="center"/>
    </xf>
    <xf numFmtId="164" fontId="0" fillId="0" borderId="1" xfId="0" applyNumberFormat="1" applyBorder="1"/>
    <xf numFmtId="164" fontId="0" fillId="0" borderId="0" xfId="0" applyNumberFormat="1"/>
    <xf numFmtId="0" fontId="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0" fontId="0" fillId="0" borderId="13" xfId="0" applyBorder="1"/>
    <xf numFmtId="0" fontId="0" fillId="0" borderId="14" xfId="0" applyBorder="1"/>
    <xf numFmtId="2" fontId="25" fillId="0" borderId="1" xfId="0" applyNumberFormat="1" applyFont="1" applyBorder="1"/>
    <xf numFmtId="2" fontId="25" fillId="0" borderId="15" xfId="0" applyNumberFormat="1" applyFont="1" applyBorder="1"/>
    <xf numFmtId="0" fontId="5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Alignment="1" applyProtection="1">
      <alignment vertical="center" wrapText="1"/>
      <protection hidden="1"/>
    </xf>
    <xf numFmtId="2" fontId="0" fillId="0" borderId="1" xfId="0" applyNumberFormat="1" applyBorder="1" applyProtection="1"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left" vertical="center" wrapText="1"/>
    </xf>
    <xf numFmtId="0" fontId="27" fillId="0" borderId="0" xfId="3" applyFont="1" applyAlignment="1">
      <alignment horizontal="center" wrapText="1"/>
    </xf>
    <xf numFmtId="0" fontId="0" fillId="0" borderId="0" xfId="0" applyAlignment="1">
      <alignment horizontal="right" wrapText="1"/>
    </xf>
    <xf numFmtId="9" fontId="0" fillId="4" borderId="1" xfId="0" applyNumberFormat="1" applyFill="1" applyBorder="1" applyAlignment="1">
      <alignment wrapText="1"/>
    </xf>
    <xf numFmtId="0" fontId="4" fillId="0" borderId="1" xfId="0" applyFont="1" applyBorder="1" applyAlignment="1">
      <alignment horizontal="center" vertical="top" wrapText="1"/>
    </xf>
    <xf numFmtId="0" fontId="13" fillId="0" borderId="0" xfId="0" applyFont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164" fontId="5" fillId="0" borderId="5" xfId="0" applyNumberFormat="1" applyFont="1" applyBorder="1" applyAlignment="1" applyProtection="1">
      <alignment horizontal="center" vertical="center"/>
      <protection hidden="1"/>
    </xf>
    <xf numFmtId="164" fontId="3" fillId="0" borderId="0" xfId="0" applyNumberFormat="1" applyFont="1" applyAlignment="1" applyProtection="1">
      <alignment horizontal="center" vertical="top"/>
      <protection hidden="1"/>
    </xf>
    <xf numFmtId="4" fontId="5" fillId="0" borderId="0" xfId="0" applyNumberFormat="1" applyFont="1" applyAlignment="1" applyProtection="1">
      <alignment horizontal="center"/>
      <protection hidden="1"/>
    </xf>
    <xf numFmtId="164" fontId="5" fillId="0" borderId="1" xfId="0" applyNumberFormat="1" applyFont="1" applyBorder="1" applyAlignment="1" applyProtection="1">
      <alignment horizontal="center" vertical="center"/>
      <protection hidden="1"/>
    </xf>
    <xf numFmtId="1" fontId="20" fillId="0" borderId="4" xfId="0" applyNumberFormat="1" applyFont="1" applyBorder="1" applyAlignment="1" applyProtection="1">
      <alignment horizont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1" fontId="9" fillId="2" borderId="6" xfId="2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  <xf numFmtId="0" fontId="9" fillId="2" borderId="1" xfId="2" applyFont="1" applyFill="1" applyBorder="1" applyAlignment="1" applyProtection="1">
      <alignment horizontal="center" vertical="center"/>
      <protection locked="0"/>
    </xf>
    <xf numFmtId="1" fontId="9" fillId="2" borderId="5" xfId="2" applyNumberFormat="1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1" fontId="9" fillId="2" borderId="6" xfId="2" applyNumberFormat="1" applyFont="1" applyFill="1" applyBorder="1" applyAlignment="1" applyProtection="1">
      <alignment horizontal="center" vertical="center"/>
      <protection locked="0" hidden="1"/>
    </xf>
    <xf numFmtId="1" fontId="9" fillId="0" borderId="1" xfId="2" applyNumberFormat="1" applyFont="1" applyBorder="1" applyAlignment="1" applyProtection="1">
      <alignment horizontal="center" vertical="center"/>
      <protection locked="0"/>
    </xf>
    <xf numFmtId="49" fontId="9" fillId="0" borderId="1" xfId="2" applyNumberFormat="1" applyFont="1" applyBorder="1" applyAlignment="1" applyProtection="1">
      <alignment horizontal="center" vertical="center"/>
      <protection locked="0"/>
    </xf>
    <xf numFmtId="49" fontId="9" fillId="0" borderId="1" xfId="2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right" vertical="center" wrapText="1"/>
    </xf>
    <xf numFmtId="166" fontId="15" fillId="0" borderId="0" xfId="0" applyNumberFormat="1" applyFont="1" applyAlignment="1" applyProtection="1">
      <alignment horizontal="left" vertical="center" wrapText="1"/>
      <protection hidden="1"/>
    </xf>
    <xf numFmtId="0" fontId="15" fillId="0" borderId="0" xfId="0" applyFont="1" applyAlignment="1">
      <alignment horizontal="right" vertical="center"/>
    </xf>
    <xf numFmtId="0" fontId="15" fillId="0" borderId="0" xfId="0" applyFont="1" applyAlignment="1" applyProtection="1">
      <alignment horizontal="left" vertical="center" wrapText="1"/>
      <protection locked="0"/>
    </xf>
    <xf numFmtId="164" fontId="15" fillId="0" borderId="0" xfId="0" applyNumberFormat="1" applyFont="1" applyAlignment="1" applyProtection="1">
      <alignment horizontal="center"/>
      <protection hidden="1"/>
    </xf>
    <xf numFmtId="167" fontId="9" fillId="0" borderId="0" xfId="0" applyNumberFormat="1" applyFont="1" applyAlignment="1" applyProtection="1">
      <alignment horizontal="center"/>
      <protection hidden="1"/>
    </xf>
    <xf numFmtId="0" fontId="4" fillId="0" borderId="0" xfId="0" applyFont="1" applyAlignment="1">
      <alignment wrapText="1"/>
    </xf>
    <xf numFmtId="0" fontId="2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1" fillId="0" borderId="0" xfId="1" applyBorder="1" applyAlignment="1">
      <alignment vertical="center"/>
    </xf>
    <xf numFmtId="0" fontId="3" fillId="0" borderId="0" xfId="0" applyFont="1" applyAlignment="1">
      <alignment horizontal="right" wrapText="1"/>
    </xf>
    <xf numFmtId="0" fontId="0" fillId="0" borderId="0" xfId="0" applyAlignment="1">
      <alignment horizontal="right"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9" fontId="0" fillId="0" borderId="1" xfId="0" applyNumberFormat="1" applyBorder="1" applyAlignment="1">
      <alignment wrapText="1"/>
    </xf>
    <xf numFmtId="0" fontId="0" fillId="5" borderId="0" xfId="0" applyFill="1" applyAlignment="1">
      <alignment horizontal="right" vertical="center" wrapText="1"/>
    </xf>
    <xf numFmtId="0" fontId="0" fillId="5" borderId="0" xfId="0" applyFill="1" applyAlignment="1">
      <alignment wrapText="1"/>
    </xf>
    <xf numFmtId="0" fontId="0" fillId="5" borderId="0" xfId="0" applyFill="1" applyAlignment="1">
      <alignment horizontal="center" wrapText="1"/>
    </xf>
    <xf numFmtId="0" fontId="0" fillId="5" borderId="0" xfId="0" applyFill="1"/>
    <xf numFmtId="0" fontId="4" fillId="0" borderId="0" xfId="0" applyFont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locked="0" hidden="1"/>
    </xf>
    <xf numFmtId="0" fontId="25" fillId="0" borderId="0" xfId="0" applyFont="1" applyAlignment="1" applyProtection="1">
      <alignment horizontal="right" vertical="center"/>
      <protection locked="0" hidden="1"/>
    </xf>
    <xf numFmtId="14" fontId="0" fillId="0" borderId="0" xfId="0" applyNumberFormat="1" applyProtection="1">
      <protection locked="0"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4" fillId="0" borderId="0" xfId="0" applyFont="1" applyProtection="1">
      <protection hidden="1"/>
    </xf>
    <xf numFmtId="4" fontId="4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49" fontId="0" fillId="0" borderId="0" xfId="0" applyNumberFormat="1" applyProtection="1">
      <protection locked="0" hidden="1"/>
    </xf>
    <xf numFmtId="0" fontId="3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5" fillId="0" borderId="0" xfId="0" applyFont="1" applyAlignment="1" applyProtection="1">
      <alignment horizontal="right"/>
      <protection hidden="1"/>
    </xf>
    <xf numFmtId="0" fontId="11" fillId="0" borderId="0" xfId="0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0" fontId="17" fillId="0" borderId="0" xfId="1" applyFont="1" applyBorder="1" applyAlignment="1" applyProtection="1">
      <alignment horizontal="right"/>
      <protection hidden="1"/>
    </xf>
    <xf numFmtId="0" fontId="14" fillId="0" borderId="0" xfId="0" applyFont="1" applyAlignment="1" applyProtection="1">
      <alignment horizontal="right"/>
      <protection hidden="1"/>
    </xf>
    <xf numFmtId="0" fontId="17" fillId="0" borderId="0" xfId="1" applyNumberFormat="1" applyFont="1" applyFill="1" applyBorder="1" applyAlignment="1" applyProtection="1">
      <alignment horizontal="right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20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27" fillId="0" borderId="0" xfId="3" applyFont="1" applyAlignment="1" applyProtection="1">
      <alignment horizont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11" fillId="0" borderId="0" xfId="0" applyFont="1" applyAlignment="1" applyProtection="1">
      <alignment vertical="center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right" vertical="center" wrapText="1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right" vertical="center" wrapText="1"/>
      <protection hidden="1"/>
    </xf>
    <xf numFmtId="0" fontId="15" fillId="0" borderId="0" xfId="0" applyFont="1" applyAlignment="1" applyProtection="1">
      <alignment horizontal="right" vertical="center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23" fillId="0" borderId="0" xfId="0" applyFont="1" applyAlignment="1" applyProtection="1">
      <alignment horizontal="right" vertical="center" wrapText="1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2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6" borderId="8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1" fontId="9" fillId="2" borderId="6" xfId="2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3" fillId="6" borderId="1" xfId="0" applyFont="1" applyFill="1" applyBorder="1" applyAlignment="1" applyProtection="1">
      <alignment horizontal="center"/>
      <protection hidden="1"/>
    </xf>
    <xf numFmtId="1" fontId="9" fillId="2" borderId="5" xfId="2" applyNumberFormat="1" applyFont="1" applyFill="1" applyBorder="1" applyAlignment="1" applyProtection="1">
      <alignment horizontal="center" vertical="center"/>
      <protection hidden="1"/>
    </xf>
    <xf numFmtId="0" fontId="9" fillId="2" borderId="5" xfId="0" applyFont="1" applyFill="1" applyBorder="1" applyAlignment="1" applyProtection="1">
      <alignment horizontal="center" vertical="center" wrapText="1"/>
      <protection hidden="1"/>
    </xf>
    <xf numFmtId="0" fontId="9" fillId="2" borderId="11" xfId="0" applyFont="1" applyFill="1" applyBorder="1" applyAlignment="1" applyProtection="1">
      <alignment horizontal="center" vertical="center" wrapText="1"/>
      <protection hidden="1"/>
    </xf>
    <xf numFmtId="1" fontId="9" fillId="0" borderId="1" xfId="2" applyNumberFormat="1" applyFont="1" applyBorder="1" applyAlignment="1" applyProtection="1">
      <alignment horizontal="center" vertical="center"/>
      <protection hidden="1"/>
    </xf>
    <xf numFmtId="49" fontId="9" fillId="0" borderId="1" xfId="2" applyNumberFormat="1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49" fontId="9" fillId="0" borderId="1" xfId="2" applyNumberFormat="1" applyFont="1" applyBorder="1" applyAlignment="1" applyProtection="1">
      <alignment horizontal="center" vertical="center" wrapText="1"/>
      <protection hidden="1"/>
    </xf>
    <xf numFmtId="0" fontId="16" fillId="0" borderId="0" xfId="0" applyFont="1" applyProtection="1">
      <protection hidden="1"/>
    </xf>
    <xf numFmtId="49" fontId="9" fillId="0" borderId="1" xfId="0" applyNumberFormat="1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 wrapText="1"/>
      <protection hidden="1"/>
    </xf>
    <xf numFmtId="0" fontId="3" fillId="0" borderId="0" xfId="0" applyFont="1" applyProtection="1">
      <protection hidden="1"/>
    </xf>
    <xf numFmtId="0" fontId="18" fillId="3" borderId="0" xfId="0" applyFont="1" applyFill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center" vertical="top"/>
      <protection hidden="1"/>
    </xf>
    <xf numFmtId="0" fontId="5" fillId="0" borderId="1" xfId="0" applyFont="1" applyBorder="1" applyAlignment="1" applyProtection="1">
      <alignment horizontal="center" vertical="top" wrapText="1"/>
      <protection hidden="1"/>
    </xf>
    <xf numFmtId="1" fontId="9" fillId="2" borderId="1" xfId="2" applyNumberFormat="1" applyFont="1" applyFill="1" applyBorder="1" applyAlignment="1" applyProtection="1">
      <alignment horizontal="center" vertical="center"/>
      <protection hidden="1"/>
    </xf>
    <xf numFmtId="1" fontId="11" fillId="2" borderId="1" xfId="2" applyNumberFormat="1" applyFont="1" applyFill="1" applyBorder="1" applyAlignment="1" applyProtection="1">
      <alignment horizontal="center" vertical="center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/>
      <protection hidden="1"/>
    </xf>
    <xf numFmtId="49" fontId="11" fillId="0" borderId="1" xfId="2" applyNumberFormat="1" applyFont="1" applyBorder="1" applyAlignment="1" applyProtection="1">
      <alignment horizontal="center" vertical="center"/>
      <protection hidden="1"/>
    </xf>
    <xf numFmtId="49" fontId="11" fillId="0" borderId="1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top" wrapText="1"/>
      <protection hidden="1"/>
    </xf>
    <xf numFmtId="0" fontId="11" fillId="2" borderId="1" xfId="2" applyFont="1" applyFill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center" vertical="top"/>
      <protection hidden="1"/>
    </xf>
    <xf numFmtId="1" fontId="5" fillId="0" borderId="1" xfId="0" applyNumberFormat="1" applyFont="1" applyBorder="1" applyAlignment="1" applyProtection="1">
      <alignment horizontal="center"/>
      <protection hidden="1"/>
    </xf>
    <xf numFmtId="164" fontId="5" fillId="0" borderId="0" xfId="0" applyNumberFormat="1" applyFont="1" applyAlignment="1" applyProtection="1">
      <alignment horizontal="center"/>
      <protection hidden="1"/>
    </xf>
    <xf numFmtId="14" fontId="5" fillId="0" borderId="0" xfId="0" applyNumberFormat="1" applyFont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center"/>
      <protection hidden="1"/>
    </xf>
    <xf numFmtId="14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3" fontId="5" fillId="0" borderId="3" xfId="0" applyNumberFormat="1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8" borderId="1" xfId="0" applyFont="1" applyFill="1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7" borderId="0" xfId="0" applyFont="1" applyFill="1" applyProtection="1">
      <protection hidden="1"/>
    </xf>
    <xf numFmtId="0" fontId="5" fillId="7" borderId="0" xfId="0" applyFont="1" applyFill="1" applyAlignment="1" applyProtection="1">
      <alignment horizontal="left"/>
      <protection hidden="1"/>
    </xf>
    <xf numFmtId="2" fontId="5" fillId="7" borderId="1" xfId="0" applyNumberFormat="1" applyFont="1" applyFill="1" applyBorder="1" applyAlignment="1" applyProtection="1">
      <alignment horizontal="center"/>
      <protection hidden="1"/>
    </xf>
    <xf numFmtId="2" fontId="5" fillId="0" borderId="1" xfId="0" applyNumberFormat="1" applyFont="1" applyBorder="1" applyAlignment="1" applyProtection="1">
      <alignment horizontal="center"/>
      <protection hidden="1"/>
    </xf>
    <xf numFmtId="2" fontId="5" fillId="8" borderId="1" xfId="0" applyNumberFormat="1" applyFont="1" applyFill="1" applyBorder="1" applyAlignment="1" applyProtection="1">
      <alignment horizontal="center"/>
      <protection hidden="1"/>
    </xf>
    <xf numFmtId="1" fontId="5" fillId="0" borderId="4" xfId="0" applyNumberFormat="1" applyFont="1" applyBorder="1" applyAlignment="1" applyProtection="1">
      <alignment horizontal="center"/>
      <protection hidden="1"/>
    </xf>
    <xf numFmtId="2" fontId="5" fillId="7" borderId="13" xfId="0" applyNumberFormat="1" applyFont="1" applyFill="1" applyBorder="1" applyAlignment="1" applyProtection="1">
      <alignment horizontal="center"/>
      <protection hidden="1"/>
    </xf>
    <xf numFmtId="2" fontId="5" fillId="0" borderId="13" xfId="0" applyNumberFormat="1" applyFont="1" applyBorder="1" applyAlignment="1" applyProtection="1">
      <alignment horizontal="center"/>
      <protection hidden="1"/>
    </xf>
    <xf numFmtId="2" fontId="5" fillId="8" borderId="13" xfId="0" applyNumberFormat="1" applyFont="1" applyFill="1" applyBorder="1" applyAlignment="1" applyProtection="1">
      <alignment horizontal="center"/>
      <protection hidden="1"/>
    </xf>
    <xf numFmtId="0" fontId="0" fillId="0" borderId="16" xfId="0" applyBorder="1" applyProtection="1">
      <protection hidden="1"/>
    </xf>
    <xf numFmtId="0" fontId="5" fillId="7" borderId="17" xfId="0" applyFont="1" applyFill="1" applyBorder="1" applyProtection="1">
      <protection hidden="1"/>
    </xf>
    <xf numFmtId="0" fontId="5" fillId="7" borderId="17" xfId="0" applyFont="1" applyFill="1" applyBorder="1" applyAlignment="1" applyProtection="1">
      <alignment horizontal="left"/>
      <protection hidden="1"/>
    </xf>
    <xf numFmtId="2" fontId="5" fillId="7" borderId="17" xfId="0" applyNumberFormat="1" applyFont="1" applyFill="1" applyBorder="1" applyAlignment="1" applyProtection="1">
      <alignment horizontal="center"/>
      <protection hidden="1"/>
    </xf>
    <xf numFmtId="2" fontId="5" fillId="0" borderId="17" xfId="0" applyNumberFormat="1" applyFont="1" applyBorder="1" applyAlignment="1" applyProtection="1">
      <alignment horizontal="center"/>
      <protection hidden="1"/>
    </xf>
    <xf numFmtId="2" fontId="5" fillId="8" borderId="17" xfId="0" applyNumberFormat="1" applyFont="1" applyFill="1" applyBorder="1" applyAlignment="1" applyProtection="1">
      <alignment horizontal="center"/>
      <protection hidden="1"/>
    </xf>
    <xf numFmtId="2" fontId="5" fillId="7" borderId="26" xfId="0" applyNumberFormat="1" applyFont="1" applyFill="1" applyBorder="1" applyAlignment="1" applyProtection="1">
      <alignment horizontal="center"/>
      <protection hidden="1"/>
    </xf>
    <xf numFmtId="0" fontId="0" fillId="0" borderId="20" xfId="0" applyBorder="1" applyProtection="1">
      <protection hidden="1"/>
    </xf>
    <xf numFmtId="2" fontId="5" fillId="7" borderId="27" xfId="0" applyNumberFormat="1" applyFont="1" applyFill="1" applyBorder="1" applyAlignment="1" applyProtection="1">
      <alignment horizontal="center"/>
      <protection hidden="1"/>
    </xf>
    <xf numFmtId="2" fontId="5" fillId="0" borderId="27" xfId="0" applyNumberFormat="1" applyFont="1" applyBorder="1" applyAlignment="1" applyProtection="1">
      <alignment horizontal="center"/>
      <protection hidden="1"/>
    </xf>
    <xf numFmtId="0" fontId="0" fillId="0" borderId="22" xfId="0" applyBorder="1" applyProtection="1">
      <protection hidden="1"/>
    </xf>
    <xf numFmtId="0" fontId="5" fillId="0" borderId="23" xfId="0" applyFont="1" applyBorder="1" applyProtection="1">
      <protection hidden="1"/>
    </xf>
    <xf numFmtId="0" fontId="5" fillId="0" borderId="23" xfId="0" applyFont="1" applyBorder="1" applyAlignment="1" applyProtection="1">
      <alignment horizontal="left"/>
      <protection hidden="1"/>
    </xf>
    <xf numFmtId="2" fontId="5" fillId="7" borderId="7" xfId="0" applyNumberFormat="1" applyFont="1" applyFill="1" applyBorder="1" applyAlignment="1" applyProtection="1">
      <alignment horizontal="center"/>
      <protection hidden="1"/>
    </xf>
    <xf numFmtId="2" fontId="5" fillId="5" borderId="7" xfId="0" applyNumberFormat="1" applyFont="1" applyFill="1" applyBorder="1" applyAlignment="1" applyProtection="1">
      <alignment horizontal="center"/>
      <protection hidden="1"/>
    </xf>
    <xf numFmtId="2" fontId="5" fillId="8" borderId="7" xfId="0" applyNumberFormat="1" applyFont="1" applyFill="1" applyBorder="1" applyAlignment="1" applyProtection="1">
      <alignment horizontal="center"/>
      <protection hidden="1"/>
    </xf>
    <xf numFmtId="2" fontId="5" fillId="5" borderId="1" xfId="0" applyNumberFormat="1" applyFont="1" applyFill="1" applyBorder="1" applyAlignment="1" applyProtection="1">
      <alignment horizontal="center"/>
      <protection hidden="1"/>
    </xf>
    <xf numFmtId="2" fontId="5" fillId="5" borderId="13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Alignment="1" applyProtection="1">
      <alignment horizontal="left"/>
      <protection hidden="1"/>
    </xf>
    <xf numFmtId="2" fontId="5" fillId="7" borderId="18" xfId="0" applyNumberFormat="1" applyFont="1" applyFill="1" applyBorder="1" applyAlignment="1" applyProtection="1">
      <alignment horizontal="center"/>
      <protection hidden="1"/>
    </xf>
    <xf numFmtId="2" fontId="5" fillId="5" borderId="18" xfId="0" applyNumberFormat="1" applyFont="1" applyFill="1" applyBorder="1" applyAlignment="1" applyProtection="1">
      <alignment horizontal="center"/>
      <protection hidden="1"/>
    </xf>
    <xf numFmtId="2" fontId="5" fillId="8" borderId="18" xfId="0" applyNumberFormat="1" applyFont="1" applyFill="1" applyBorder="1" applyAlignment="1" applyProtection="1">
      <alignment horizontal="center"/>
      <protection hidden="1"/>
    </xf>
    <xf numFmtId="2" fontId="5" fillId="7" borderId="19" xfId="0" applyNumberFormat="1" applyFont="1" applyFill="1" applyBorder="1" applyAlignment="1" applyProtection="1">
      <alignment horizontal="center"/>
      <protection hidden="1"/>
    </xf>
    <xf numFmtId="2" fontId="5" fillId="7" borderId="21" xfId="0" applyNumberFormat="1" applyFont="1" applyFill="1" applyBorder="1" applyAlignment="1" applyProtection="1">
      <alignment horizontal="center"/>
      <protection hidden="1"/>
    </xf>
    <xf numFmtId="2" fontId="5" fillId="0" borderId="21" xfId="0" applyNumberFormat="1" applyFont="1" applyBorder="1" applyAlignment="1" applyProtection="1">
      <alignment horizontal="center"/>
      <protection hidden="1"/>
    </xf>
    <xf numFmtId="2" fontId="5" fillId="5" borderId="24" xfId="0" applyNumberFormat="1" applyFont="1" applyFill="1" applyBorder="1" applyAlignment="1" applyProtection="1">
      <alignment horizontal="center"/>
      <protection hidden="1"/>
    </xf>
    <xf numFmtId="2" fontId="5" fillId="8" borderId="24" xfId="0" applyNumberFormat="1" applyFont="1" applyFill="1" applyBorder="1" applyAlignment="1" applyProtection="1">
      <alignment horizontal="center"/>
      <protection hidden="1"/>
    </xf>
    <xf numFmtId="2" fontId="5" fillId="0" borderId="25" xfId="0" applyNumberFormat="1" applyFont="1" applyBorder="1" applyAlignment="1" applyProtection="1">
      <alignment horizontal="center"/>
      <protection hidden="1"/>
    </xf>
    <xf numFmtId="2" fontId="5" fillId="0" borderId="7" xfId="0" applyNumberFormat="1" applyFont="1" applyBorder="1" applyAlignment="1" applyProtection="1">
      <alignment horizontal="center"/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28" fillId="0" borderId="0" xfId="0" applyFont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29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>
      <alignment horizontal="center"/>
    </xf>
    <xf numFmtId="3" fontId="15" fillId="0" borderId="0" xfId="0" applyNumberFormat="1" applyFont="1" applyAlignment="1" applyProtection="1">
      <alignment horizontal="center"/>
      <protection hidden="1"/>
    </xf>
    <xf numFmtId="1" fontId="20" fillId="0" borderId="0" xfId="0" applyNumberFormat="1" applyFont="1" applyAlignment="1" applyProtection="1">
      <alignment horizontal="center"/>
      <protection hidden="1"/>
    </xf>
    <xf numFmtId="1" fontId="15" fillId="0" borderId="0" xfId="0" applyNumberFormat="1" applyFont="1" applyAlignment="1" applyProtection="1">
      <alignment horizontal="center"/>
      <protection hidden="1"/>
    </xf>
    <xf numFmtId="0" fontId="3" fillId="0" borderId="0" xfId="0" applyFont="1" applyProtection="1">
      <protection locked="0"/>
    </xf>
    <xf numFmtId="14" fontId="3" fillId="0" borderId="0" xfId="0" applyNumberFormat="1" applyFont="1" applyProtection="1">
      <protection locked="0"/>
    </xf>
    <xf numFmtId="0" fontId="21" fillId="0" borderId="0" xfId="0" applyFont="1" applyAlignment="1" applyProtection="1">
      <alignment horizontal="left"/>
      <protection locked="0"/>
    </xf>
    <xf numFmtId="4" fontId="4" fillId="0" borderId="0" xfId="0" applyNumberFormat="1" applyFont="1" applyProtection="1">
      <protection locked="0" hidden="1"/>
    </xf>
    <xf numFmtId="0" fontId="5" fillId="0" borderId="6" xfId="0" applyFont="1" applyBorder="1" applyAlignment="1">
      <alignment horizontal="center" vertical="center" wrapText="1"/>
    </xf>
    <xf numFmtId="1" fontId="9" fillId="2" borderId="1" xfId="2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1" fontId="9" fillId="0" borderId="11" xfId="2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left"/>
    </xf>
    <xf numFmtId="2" fontId="5" fillId="7" borderId="0" xfId="0" applyNumberFormat="1" applyFont="1" applyFill="1" applyBorder="1" applyAlignment="1" applyProtection="1">
      <alignment horizontal="center"/>
      <protection hidden="1"/>
    </xf>
    <xf numFmtId="2" fontId="5" fillId="0" borderId="0" xfId="0" applyNumberFormat="1" applyFont="1" applyBorder="1" applyAlignment="1" applyProtection="1">
      <alignment horizontal="center"/>
      <protection hidden="1"/>
    </xf>
    <xf numFmtId="2" fontId="5" fillId="8" borderId="0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Border="1" applyProtection="1"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5" fillId="7" borderId="0" xfId="0" applyFont="1" applyFill="1" applyBorder="1" applyProtection="1">
      <protection hidden="1"/>
    </xf>
    <xf numFmtId="0" fontId="5" fillId="7" borderId="0" xfId="0" applyFont="1" applyFill="1" applyBorder="1" applyAlignment="1" applyProtection="1">
      <alignment horizontal="left"/>
      <protection hidden="1"/>
    </xf>
    <xf numFmtId="0" fontId="5" fillId="9" borderId="0" xfId="0" applyFont="1" applyFill="1" applyProtection="1">
      <protection hidden="1"/>
    </xf>
    <xf numFmtId="0" fontId="5" fillId="9" borderId="0" xfId="0" applyFont="1" applyFill="1" applyAlignment="1" applyProtection="1">
      <alignment horizontal="left"/>
      <protection hidden="1"/>
    </xf>
    <xf numFmtId="2" fontId="5" fillId="9" borderId="1" xfId="0" applyNumberFormat="1" applyFont="1" applyFill="1" applyBorder="1" applyAlignment="1" applyProtection="1">
      <alignment horizontal="center"/>
      <protection hidden="1"/>
    </xf>
    <xf numFmtId="2" fontId="5" fillId="9" borderId="0" xfId="0" applyNumberFormat="1" applyFont="1" applyFill="1" applyBorder="1" applyAlignment="1" applyProtection="1">
      <alignment horizontal="center"/>
      <protection hidden="1"/>
    </xf>
    <xf numFmtId="0" fontId="5" fillId="9" borderId="0" xfId="0" applyFont="1" applyFill="1" applyBorder="1" applyProtection="1">
      <protection hidden="1"/>
    </xf>
    <xf numFmtId="0" fontId="5" fillId="9" borderId="0" xfId="0" applyFont="1" applyFill="1" applyBorder="1" applyAlignment="1" applyProtection="1">
      <alignment horizontal="left"/>
      <protection hidden="1"/>
    </xf>
    <xf numFmtId="2" fontId="5" fillId="9" borderId="27" xfId="0" applyNumberFormat="1" applyFont="1" applyFill="1" applyBorder="1" applyAlignment="1" applyProtection="1">
      <alignment horizontal="center"/>
      <protection hidden="1"/>
    </xf>
    <xf numFmtId="0" fontId="5" fillId="9" borderId="23" xfId="0" applyFont="1" applyFill="1" applyBorder="1" applyProtection="1">
      <protection hidden="1"/>
    </xf>
    <xf numFmtId="0" fontId="5" fillId="9" borderId="23" xfId="0" applyFont="1" applyFill="1" applyBorder="1" applyAlignment="1" applyProtection="1">
      <alignment horizontal="left"/>
      <protection hidden="1"/>
    </xf>
    <xf numFmtId="2" fontId="5" fillId="9" borderId="23" xfId="0" applyNumberFormat="1" applyFont="1" applyFill="1" applyBorder="1" applyAlignment="1" applyProtection="1">
      <alignment horizontal="center"/>
      <protection hidden="1"/>
    </xf>
    <xf numFmtId="2" fontId="5" fillId="9" borderId="28" xfId="0" applyNumberFormat="1" applyFont="1" applyFill="1" applyBorder="1" applyAlignment="1" applyProtection="1">
      <alignment horizontal="center"/>
      <protection hidden="1"/>
    </xf>
    <xf numFmtId="0" fontId="28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4" fontId="15" fillId="0" borderId="3" xfId="0" applyNumberFormat="1" applyFont="1" applyBorder="1" applyAlignment="1" applyProtection="1">
      <alignment horizontal="left"/>
      <protection locked="0"/>
    </xf>
    <xf numFmtId="14" fontId="15" fillId="0" borderId="8" xfId="0" applyNumberFormat="1" applyFont="1" applyBorder="1" applyAlignment="1" applyProtection="1">
      <alignment horizontal="left"/>
      <protection locked="0"/>
    </xf>
    <xf numFmtId="14" fontId="15" fillId="0" borderId="9" xfId="0" applyNumberFormat="1" applyFont="1" applyBorder="1" applyAlignment="1" applyProtection="1">
      <alignment horizontal="left"/>
      <protection locked="0"/>
    </xf>
    <xf numFmtId="14" fontId="15" fillId="0" borderId="10" xfId="0" applyNumberFormat="1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26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27" fillId="0" borderId="0" xfId="3" applyFont="1" applyAlignment="1">
      <alignment horizontal="center" wrapText="1"/>
    </xf>
    <xf numFmtId="14" fontId="15" fillId="0" borderId="0" xfId="0" applyNumberFormat="1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27" fillId="0" borderId="0" xfId="3" applyFont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14" fontId="16" fillId="0" borderId="0" xfId="0" applyNumberFormat="1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14" fontId="15" fillId="0" borderId="3" xfId="0" applyNumberFormat="1" applyFont="1" applyBorder="1" applyAlignment="1" applyProtection="1">
      <alignment horizontal="left"/>
      <protection hidden="1"/>
    </xf>
    <xf numFmtId="14" fontId="15" fillId="0" borderId="8" xfId="0" applyNumberFormat="1" applyFont="1" applyBorder="1" applyAlignment="1" applyProtection="1">
      <alignment horizontal="left"/>
      <protection hidden="1"/>
    </xf>
    <xf numFmtId="14" fontId="15" fillId="0" borderId="9" xfId="0" applyNumberFormat="1" applyFont="1" applyBorder="1" applyAlignment="1" applyProtection="1">
      <alignment horizontal="left"/>
      <protection hidden="1"/>
    </xf>
    <xf numFmtId="14" fontId="15" fillId="0" borderId="10" xfId="0" applyNumberFormat="1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left"/>
      <protection hidden="1"/>
    </xf>
    <xf numFmtId="0" fontId="5" fillId="0" borderId="9" xfId="0" applyFont="1" applyBorder="1" applyAlignment="1" applyProtection="1">
      <alignment horizontal="left"/>
      <protection hidden="1"/>
    </xf>
    <xf numFmtId="0" fontId="5" fillId="0" borderId="10" xfId="0" applyFont="1" applyBorder="1" applyAlignment="1" applyProtection="1">
      <alignment horizontal="left"/>
      <protection hidden="1"/>
    </xf>
    <xf numFmtId="0" fontId="0" fillId="0" borderId="1" xfId="0" applyBorder="1" applyAlignment="1">
      <alignment horizontal="left" vertical="center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left" vertical="center"/>
      <protection hidden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14" fontId="0" fillId="0" borderId="0" xfId="0" applyNumberFormat="1" applyAlignment="1">
      <alignment horizontal="right" wrapText="1"/>
    </xf>
    <xf numFmtId="0" fontId="0" fillId="0" borderId="1" xfId="0" applyBorder="1" applyAlignment="1">
      <alignment horizontal="right" vertical="center" wrapText="1"/>
    </xf>
    <xf numFmtId="0" fontId="25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4" borderId="1" xfId="0" applyFill="1" applyBorder="1" applyAlignment="1">
      <alignment wrapText="1"/>
    </xf>
    <xf numFmtId="0" fontId="0" fillId="0" borderId="0" xfId="0" applyAlignment="1">
      <alignment vertical="center" wrapText="1"/>
    </xf>
  </cellXfs>
  <cellStyles count="4">
    <cellStyle name="Excel Built-in Normal" xfId="3" xr:uid="{00000000-0005-0000-0000-000000000000}"/>
    <cellStyle name="Гиперссылка" xfId="1" builtinId="8"/>
    <cellStyle name="Обычный" xfId="0" builtinId="0"/>
    <cellStyle name="Обычный_Лист1" xfId="2" xr:uid="{00000000-0005-0000-0000-000003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33618</xdr:rowOff>
    </xdr:from>
    <xdr:to>
      <xdr:col>3</xdr:col>
      <xdr:colOff>313764</xdr:colOff>
      <xdr:row>8</xdr:row>
      <xdr:rowOff>281268</xdr:rowOff>
    </xdr:to>
    <xdr:pic>
      <xdr:nvPicPr>
        <xdr:cNvPr id="1047" name="Picture 2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18"/>
          <a:ext cx="2454088" cy="2119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1326448</xdr:colOff>
      <xdr:row>8</xdr:row>
      <xdr:rowOff>231321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83253" cy="20791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33618</xdr:rowOff>
    </xdr:from>
    <xdr:to>
      <xdr:col>3</xdr:col>
      <xdr:colOff>313764</xdr:colOff>
      <xdr:row>8</xdr:row>
      <xdr:rowOff>281268</xdr:rowOff>
    </xdr:to>
    <xdr:pic>
      <xdr:nvPicPr>
        <xdr:cNvPr id="2" name="Picture 2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33618"/>
          <a:ext cx="1961589" cy="2095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721178</xdr:colOff>
      <xdr:row>12</xdr:row>
      <xdr:rowOff>136071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83253" cy="20791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0</xdr:colOff>
      <xdr:row>8</xdr:row>
      <xdr:rowOff>161925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61925"/>
          <a:ext cx="1295400" cy="1295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ultrafasad.com?subject=&#1047;&#1072;&#1082;&#1072;&#1079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J128"/>
  <sheetViews>
    <sheetView topLeftCell="A56" zoomScale="70" zoomScaleNormal="70" workbookViewId="0">
      <selection activeCell="P76" sqref="P76"/>
    </sheetView>
  </sheetViews>
  <sheetFormatPr defaultColWidth="11.5703125" defaultRowHeight="12.75" x14ac:dyDescent="0.2"/>
  <cols>
    <col min="1" max="1" width="3" customWidth="1"/>
    <col min="2" max="2" width="8.28515625" customWidth="1"/>
    <col min="3" max="4" width="25" customWidth="1"/>
    <col min="5" max="5" width="14" customWidth="1"/>
    <col min="6" max="6" width="9.7109375" customWidth="1"/>
    <col min="7" max="7" width="20.140625" hidden="1" customWidth="1"/>
    <col min="8" max="8" width="14.42578125" hidden="1" customWidth="1"/>
    <col min="9" max="9" width="19.28515625" bestFit="1" customWidth="1"/>
    <col min="10" max="13" width="12.28515625" customWidth="1"/>
    <col min="14" max="15" width="12.28515625" hidden="1" customWidth="1"/>
    <col min="16" max="16" width="27.7109375" customWidth="1"/>
    <col min="17" max="17" width="19.5703125" bestFit="1" customWidth="1"/>
    <col min="18" max="18" width="17.42578125" hidden="1" customWidth="1"/>
    <col min="19" max="19" width="13.42578125" hidden="1" customWidth="1"/>
    <col min="20" max="21" width="13" hidden="1" customWidth="1"/>
    <col min="22" max="22" width="18.7109375" hidden="1" customWidth="1"/>
    <col min="23" max="23" width="13" hidden="1" customWidth="1"/>
    <col min="24" max="24" width="16" customWidth="1"/>
    <col min="25" max="25" width="25.42578125" customWidth="1"/>
    <col min="26" max="27" width="16" customWidth="1"/>
    <col min="28" max="28" width="12.85546875" hidden="1" customWidth="1"/>
    <col min="29" max="29" width="14" hidden="1" customWidth="1"/>
    <col min="30" max="31" width="15.42578125" customWidth="1"/>
    <col min="32" max="33" width="12.85546875" hidden="1" customWidth="1"/>
    <col min="34" max="34" width="21" customWidth="1"/>
    <col min="35" max="35" width="9.7109375" customWidth="1"/>
    <col min="36" max="36" width="11.5703125" customWidth="1"/>
    <col min="37" max="37" width="63.5703125" customWidth="1"/>
    <col min="38" max="39" width="11.5703125" customWidth="1"/>
    <col min="40" max="40" width="18" customWidth="1"/>
  </cols>
  <sheetData>
    <row r="1" spans="1:36" ht="20.25" x14ac:dyDescent="0.3">
      <c r="B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6"/>
      <c r="AD1" s="6"/>
      <c r="AE1" s="6"/>
      <c r="AF1" s="6"/>
      <c r="AG1" s="6"/>
      <c r="AH1" s="6"/>
      <c r="AI1" s="16" t="s">
        <v>0</v>
      </c>
    </row>
    <row r="2" spans="1:36" ht="18" x14ac:dyDescent="0.25">
      <c r="B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12"/>
      <c r="AC2" s="13"/>
      <c r="AD2" s="13"/>
      <c r="AE2" s="13"/>
      <c r="AF2" s="13"/>
      <c r="AG2" s="13"/>
      <c r="AH2" s="13"/>
      <c r="AI2" s="14" t="s">
        <v>36</v>
      </c>
    </row>
    <row r="3" spans="1:36" ht="15.75" customHeight="1" x14ac:dyDescent="0.25">
      <c r="B3" s="2"/>
      <c r="D3" s="2"/>
      <c r="E3" t="s">
        <v>1</v>
      </c>
      <c r="R3" s="10"/>
      <c r="S3" s="10"/>
      <c r="T3" s="10"/>
      <c r="U3" s="10"/>
      <c r="V3" s="10"/>
      <c r="W3" s="10"/>
      <c r="X3" s="10"/>
      <c r="Y3" s="10"/>
      <c r="Z3" s="10"/>
      <c r="AA3" s="10"/>
      <c r="AC3" s="13"/>
      <c r="AD3" s="13"/>
      <c r="AE3" s="13"/>
      <c r="AF3" s="14"/>
      <c r="AG3" s="14"/>
      <c r="AH3" s="13"/>
      <c r="AI3" s="14" t="s">
        <v>37</v>
      </c>
    </row>
    <row r="4" spans="1:36" ht="18" x14ac:dyDescent="0.25">
      <c r="B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12"/>
      <c r="AC4" s="13"/>
      <c r="AD4" s="13"/>
      <c r="AE4" s="13"/>
      <c r="AF4" s="13"/>
      <c r="AG4" s="13"/>
      <c r="AH4" s="13"/>
      <c r="AI4" s="14" t="s">
        <v>184</v>
      </c>
    </row>
    <row r="5" spans="1:36" ht="18" x14ac:dyDescent="0.25">
      <c r="B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12"/>
      <c r="AC5" s="13"/>
      <c r="AD5" s="13"/>
      <c r="AE5" s="13"/>
      <c r="AF5" s="13"/>
      <c r="AG5" s="13"/>
      <c r="AH5" s="13"/>
      <c r="AI5" s="19" t="s">
        <v>28</v>
      </c>
    </row>
    <row r="6" spans="1:36" ht="18" x14ac:dyDescent="0.25">
      <c r="B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12"/>
      <c r="AC6" s="15"/>
      <c r="AD6" s="15"/>
      <c r="AE6" s="15"/>
      <c r="AF6" s="15"/>
      <c r="AG6" s="15"/>
      <c r="AH6" s="18"/>
      <c r="AI6" s="18" t="s">
        <v>29</v>
      </c>
    </row>
    <row r="7" spans="1:36" ht="14.25" x14ac:dyDescent="0.2">
      <c r="A7" s="22"/>
      <c r="B7" s="48"/>
      <c r="C7" s="22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9"/>
      <c r="AC7" s="50"/>
      <c r="AD7" s="50"/>
      <c r="AE7" s="50"/>
      <c r="AF7" s="50"/>
      <c r="AG7" s="50"/>
      <c r="AH7" s="50"/>
      <c r="AI7" s="51"/>
      <c r="AJ7" s="22"/>
    </row>
    <row r="8" spans="1:36" ht="23.25" customHeight="1" x14ac:dyDescent="0.2">
      <c r="A8" s="22"/>
      <c r="B8" s="21"/>
      <c r="C8" s="21"/>
      <c r="E8" s="102"/>
      <c r="F8" s="102"/>
      <c r="G8" s="102"/>
      <c r="H8" s="354" t="s">
        <v>371</v>
      </c>
      <c r="I8" s="354"/>
      <c r="J8" s="354"/>
      <c r="K8" s="354"/>
      <c r="L8" s="354"/>
      <c r="M8" s="354"/>
      <c r="N8" s="354"/>
      <c r="O8" s="354"/>
      <c r="P8" s="354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22"/>
    </row>
    <row r="9" spans="1:36" ht="26.25" customHeight="1" x14ac:dyDescent="0.4">
      <c r="A9" s="22"/>
      <c r="B9" s="21"/>
      <c r="C9" s="21"/>
      <c r="D9" s="52"/>
      <c r="E9" s="52"/>
      <c r="F9" s="52"/>
      <c r="G9" s="52"/>
      <c r="H9" s="52"/>
      <c r="I9" s="62" t="s">
        <v>38</v>
      </c>
      <c r="J9" s="358" t="s">
        <v>185</v>
      </c>
      <c r="K9" s="358"/>
      <c r="L9" s="98"/>
      <c r="M9" s="53"/>
      <c r="N9" s="53"/>
      <c r="O9" s="53"/>
      <c r="P9" s="53"/>
      <c r="Q9" s="53"/>
      <c r="U9" s="98"/>
      <c r="V9" s="98"/>
      <c r="W9" s="98"/>
      <c r="X9" s="98"/>
      <c r="Y9" s="98"/>
      <c r="Z9" s="98"/>
      <c r="AA9" s="98"/>
      <c r="AB9" s="53"/>
      <c r="AC9" s="52"/>
      <c r="AD9" s="52"/>
      <c r="AE9" s="52"/>
      <c r="AF9" s="52"/>
      <c r="AG9" s="52"/>
      <c r="AH9" s="52"/>
      <c r="AI9" s="52"/>
      <c r="AJ9" s="22"/>
    </row>
    <row r="10" spans="1:36" s="5" customFormat="1" ht="27.75" x14ac:dyDescent="0.3">
      <c r="A10" s="20"/>
      <c r="B10" s="357" t="s">
        <v>42</v>
      </c>
      <c r="C10" s="357"/>
      <c r="D10" s="336"/>
      <c r="E10" s="336"/>
      <c r="F10" s="292"/>
      <c r="G10" s="292"/>
      <c r="H10" s="292"/>
      <c r="I10" s="293"/>
      <c r="J10" s="294"/>
      <c r="K10" s="295"/>
      <c r="L10" s="295"/>
      <c r="M10" s="296"/>
      <c r="N10" s="296"/>
      <c r="O10" s="296"/>
      <c r="P10" s="296"/>
      <c r="Q10" s="296"/>
      <c r="R10" s="54"/>
      <c r="S10" s="54"/>
      <c r="T10" s="54"/>
      <c r="U10" s="54"/>
      <c r="V10" s="54"/>
      <c r="W10" s="54"/>
      <c r="X10" s="54"/>
      <c r="Y10" s="54"/>
      <c r="Z10" s="54"/>
      <c r="AA10" s="54"/>
      <c r="AC10" s="94"/>
      <c r="AD10" s="94"/>
      <c r="AE10" s="124" t="s">
        <v>18</v>
      </c>
      <c r="AF10" s="125"/>
      <c r="AG10" s="125"/>
      <c r="AH10" s="359"/>
      <c r="AI10" s="359"/>
      <c r="AJ10" s="20"/>
    </row>
    <row r="11" spans="1:36" ht="15.75" customHeight="1" x14ac:dyDescent="0.3">
      <c r="A11" s="22"/>
      <c r="B11" s="55"/>
      <c r="C11" s="75" t="s">
        <v>43</v>
      </c>
      <c r="D11" s="56"/>
      <c r="E11" s="56"/>
      <c r="F11" s="56"/>
      <c r="G11" s="69"/>
      <c r="H11" s="56"/>
      <c r="I11" s="56"/>
      <c r="J11" s="57"/>
      <c r="K11" s="57"/>
      <c r="L11" s="57"/>
      <c r="M11" s="57"/>
      <c r="N11" s="57"/>
      <c r="O11" s="57"/>
      <c r="P11" s="57"/>
      <c r="Q11" s="57"/>
      <c r="S11" s="53"/>
      <c r="T11" s="53"/>
      <c r="U11" s="53"/>
      <c r="V11" s="53"/>
      <c r="W11" s="53"/>
      <c r="X11" s="53"/>
      <c r="Y11" s="53"/>
      <c r="Z11" s="53"/>
      <c r="AA11" s="53"/>
      <c r="AC11" s="93"/>
      <c r="AD11" s="93"/>
      <c r="AE11" s="126" t="s">
        <v>39</v>
      </c>
      <c r="AF11" s="127"/>
      <c r="AG11" s="127"/>
      <c r="AH11" s="360"/>
      <c r="AI11" s="360"/>
      <c r="AJ11" s="22"/>
    </row>
    <row r="12" spans="1:36" ht="15.75" customHeight="1" x14ac:dyDescent="0.3">
      <c r="A12" s="22"/>
      <c r="B12" s="55"/>
      <c r="C12" s="58"/>
      <c r="D12" s="55"/>
      <c r="E12" s="55"/>
      <c r="F12" s="55"/>
      <c r="G12" s="55"/>
      <c r="H12" s="74"/>
      <c r="I12" s="74"/>
      <c r="J12" s="55"/>
      <c r="R12" s="53"/>
      <c r="S12" s="53"/>
      <c r="T12" s="53"/>
      <c r="U12" s="53"/>
      <c r="V12" s="53"/>
      <c r="W12" s="53"/>
      <c r="X12" s="53"/>
      <c r="Y12" s="53"/>
      <c r="Z12" s="53"/>
      <c r="AA12" s="53"/>
      <c r="AC12" s="93"/>
      <c r="AD12" s="93"/>
      <c r="AE12" s="126" t="s">
        <v>40</v>
      </c>
      <c r="AF12" s="127"/>
      <c r="AG12" s="127"/>
      <c r="AH12" s="360"/>
      <c r="AI12" s="360"/>
      <c r="AJ12" s="22"/>
    </row>
    <row r="13" spans="1:36" ht="20.25" x14ac:dyDescent="0.3">
      <c r="A13" s="22"/>
      <c r="B13" s="55"/>
      <c r="C13" s="58"/>
      <c r="D13" s="59"/>
      <c r="E13" s="55"/>
      <c r="F13" s="55"/>
      <c r="G13" s="55"/>
      <c r="H13" s="53"/>
      <c r="I13" s="53"/>
      <c r="J13" s="53"/>
      <c r="K13" s="53"/>
      <c r="L13" s="53"/>
      <c r="M13" s="53"/>
      <c r="N13" s="53"/>
      <c r="O13" s="53"/>
      <c r="P13" s="53"/>
      <c r="Q13" s="53"/>
      <c r="S13" s="53"/>
      <c r="T13" s="53"/>
      <c r="U13" s="53"/>
      <c r="V13" s="53"/>
      <c r="W13" s="53"/>
      <c r="X13" s="53"/>
      <c r="Y13" s="53"/>
      <c r="Z13" s="53"/>
      <c r="AA13" s="53"/>
      <c r="AC13" s="93"/>
      <c r="AD13" s="93"/>
      <c r="AE13" s="124" t="s">
        <v>41</v>
      </c>
      <c r="AF13" s="127"/>
      <c r="AG13" s="127"/>
      <c r="AH13" s="360"/>
      <c r="AI13" s="360"/>
      <c r="AJ13" s="22"/>
    </row>
    <row r="14" spans="1:36" ht="20.25" x14ac:dyDescent="0.3">
      <c r="A14" s="22"/>
      <c r="B14" s="60"/>
      <c r="C14" s="60"/>
      <c r="D14" s="60"/>
      <c r="E14" s="60"/>
      <c r="F14" s="60"/>
      <c r="G14" s="60"/>
      <c r="H14" s="356" t="s">
        <v>44</v>
      </c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97"/>
      <c r="V14" s="97"/>
      <c r="W14" s="97"/>
      <c r="X14" s="97"/>
      <c r="Y14" s="97"/>
      <c r="Z14" s="97"/>
      <c r="AA14" s="97"/>
      <c r="AC14" s="93"/>
      <c r="AD14" s="93"/>
      <c r="AE14" s="124" t="s">
        <v>19</v>
      </c>
      <c r="AF14" s="127"/>
      <c r="AG14" s="127"/>
      <c r="AH14" s="360"/>
      <c r="AI14" s="360"/>
      <c r="AJ14" s="22"/>
    </row>
    <row r="15" spans="1:36" ht="15.75" x14ac:dyDescent="0.2">
      <c r="A15" s="22"/>
      <c r="B15" s="61"/>
      <c r="C15" s="61"/>
      <c r="D15" s="61"/>
      <c r="E15" s="61"/>
      <c r="F15" s="61"/>
      <c r="G15" s="61"/>
      <c r="H15" s="356" t="s">
        <v>45</v>
      </c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  <c r="AA15" s="356"/>
      <c r="AB15" s="356"/>
      <c r="AC15" s="356"/>
      <c r="AD15" s="356"/>
      <c r="AE15" s="356"/>
      <c r="AF15" s="356"/>
      <c r="AG15" s="356"/>
      <c r="AH15" s="356"/>
      <c r="AI15" s="356"/>
      <c r="AJ15" s="22"/>
    </row>
    <row r="16" spans="1:36" ht="15.75" x14ac:dyDescent="0.2">
      <c r="A16" s="22"/>
      <c r="B16" s="61"/>
      <c r="C16" s="48"/>
      <c r="D16" s="48"/>
      <c r="E16" s="48"/>
      <c r="F16" s="48"/>
      <c r="G16" s="48"/>
      <c r="H16" s="356" t="s">
        <v>46</v>
      </c>
      <c r="I16" s="356"/>
      <c r="J16" s="356"/>
      <c r="K16" s="356"/>
      <c r="L16" s="356"/>
      <c r="M16" s="356"/>
      <c r="N16" s="356"/>
      <c r="O16" s="356"/>
      <c r="P16" s="356"/>
      <c r="Q16" s="356"/>
      <c r="R16" s="356"/>
      <c r="S16" s="356"/>
      <c r="T16" s="356"/>
      <c r="U16" s="356"/>
      <c r="V16" s="356"/>
      <c r="W16" s="356"/>
      <c r="X16" s="356"/>
      <c r="Y16" s="356"/>
      <c r="Z16" s="356"/>
      <c r="AA16" s="356"/>
      <c r="AB16" s="356"/>
      <c r="AC16" s="356"/>
      <c r="AD16" s="356"/>
      <c r="AE16" s="356"/>
      <c r="AF16" s="356"/>
      <c r="AG16" s="356"/>
      <c r="AH16" s="356"/>
      <c r="AI16" s="356"/>
      <c r="AJ16" s="22"/>
    </row>
    <row r="17" spans="1:36" ht="15.75" x14ac:dyDescent="0.2">
      <c r="A17" s="22"/>
      <c r="B17" s="61"/>
      <c r="C17" s="48"/>
      <c r="D17" s="48"/>
      <c r="E17" s="48"/>
      <c r="F17" s="48"/>
      <c r="G17" s="48"/>
      <c r="H17" s="356" t="s">
        <v>47</v>
      </c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6"/>
      <c r="AG17" s="356"/>
      <c r="AH17" s="356"/>
      <c r="AI17" s="356"/>
      <c r="AJ17" s="22"/>
    </row>
    <row r="18" spans="1:36" s="3" customFormat="1" ht="12" customHeight="1" x14ac:dyDescent="0.4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6" ht="18" x14ac:dyDescent="0.25">
      <c r="B19" s="355" t="s">
        <v>253</v>
      </c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5"/>
      <c r="S19" s="355"/>
      <c r="T19" s="355"/>
      <c r="U19" s="355"/>
      <c r="V19" s="355"/>
      <c r="W19" s="355"/>
      <c r="X19" s="355"/>
      <c r="Y19" s="355"/>
      <c r="Z19" s="355"/>
      <c r="AA19" s="355"/>
      <c r="AB19" s="355"/>
      <c r="AC19" s="355"/>
      <c r="AD19" s="355"/>
      <c r="AE19" s="355"/>
      <c r="AF19" s="355"/>
      <c r="AG19" s="355"/>
      <c r="AH19" s="355"/>
      <c r="AI19" s="355"/>
    </row>
    <row r="20" spans="1:36" ht="76.5" x14ac:dyDescent="0.2">
      <c r="B20" s="45" t="s">
        <v>3</v>
      </c>
      <c r="C20" s="45" t="s">
        <v>49</v>
      </c>
      <c r="D20" s="45" t="s">
        <v>51</v>
      </c>
      <c r="E20" s="45" t="s">
        <v>50</v>
      </c>
      <c r="F20" s="45" t="s">
        <v>52</v>
      </c>
      <c r="G20" s="45" t="s">
        <v>166</v>
      </c>
      <c r="H20" s="45" t="s">
        <v>58</v>
      </c>
      <c r="I20" s="46" t="s">
        <v>179</v>
      </c>
      <c r="J20" s="338" t="s">
        <v>53</v>
      </c>
      <c r="K20" s="339"/>
      <c r="L20" s="338" t="s">
        <v>171</v>
      </c>
      <c r="M20" s="339"/>
      <c r="N20" s="47" t="s">
        <v>180</v>
      </c>
      <c r="O20" s="47" t="s">
        <v>168</v>
      </c>
      <c r="P20" s="45" t="s">
        <v>172</v>
      </c>
      <c r="Q20" s="45" t="s">
        <v>173</v>
      </c>
      <c r="R20" s="337" t="s">
        <v>54</v>
      </c>
      <c r="S20" s="337"/>
      <c r="T20" s="45" t="s">
        <v>55</v>
      </c>
      <c r="U20" s="101" t="s">
        <v>176</v>
      </c>
      <c r="V20" s="101" t="s">
        <v>181</v>
      </c>
      <c r="W20" s="45" t="s">
        <v>167</v>
      </c>
      <c r="X20" s="45" t="s">
        <v>183</v>
      </c>
      <c r="Y20" s="45" t="s">
        <v>174</v>
      </c>
      <c r="Z20" s="45" t="s">
        <v>182</v>
      </c>
      <c r="AA20" s="45" t="s">
        <v>175</v>
      </c>
      <c r="AB20" s="45" t="s">
        <v>59</v>
      </c>
      <c r="AC20" s="46" t="s">
        <v>56</v>
      </c>
      <c r="AD20" s="46" t="s">
        <v>177</v>
      </c>
      <c r="AE20" s="46" t="s">
        <v>178</v>
      </c>
      <c r="AF20" s="338" t="s">
        <v>115</v>
      </c>
      <c r="AG20" s="339"/>
      <c r="AH20" s="45" t="s">
        <v>48</v>
      </c>
      <c r="AI20" s="47" t="s">
        <v>57</v>
      </c>
    </row>
    <row r="21" spans="1:36" s="8" customFormat="1" ht="20.25" x14ac:dyDescent="0.2">
      <c r="B21" s="23">
        <v>1</v>
      </c>
      <c r="C21" s="113"/>
      <c r="D21" s="113"/>
      <c r="E21" s="113"/>
      <c r="F21" s="113"/>
      <c r="G21" s="113"/>
      <c r="H21" s="115"/>
      <c r="I21" s="116"/>
      <c r="J21" s="117"/>
      <c r="K21" s="115"/>
      <c r="L21" s="115"/>
      <c r="M21" s="113"/>
      <c r="N21" s="118"/>
      <c r="O21" s="119"/>
      <c r="P21" s="119"/>
      <c r="Q21" s="113"/>
      <c r="R21" s="119"/>
      <c r="S21" s="115"/>
      <c r="T21" s="115"/>
      <c r="U21" s="115"/>
      <c r="V21" s="115"/>
      <c r="W21" s="113"/>
      <c r="X21" s="113"/>
      <c r="Y21" s="113"/>
      <c r="Z21" s="113"/>
      <c r="AA21" s="120"/>
      <c r="AB21" s="115"/>
      <c r="AC21" s="116"/>
      <c r="AD21" s="121"/>
      <c r="AE21" s="121"/>
      <c r="AF21" s="122"/>
      <c r="AG21" s="122"/>
      <c r="AH21" s="122"/>
      <c r="AI21" s="107">
        <f t="shared" ref="AI21:AI43" si="0">C21*D21/1000000*E21</f>
        <v>0</v>
      </c>
    </row>
    <row r="22" spans="1:36" s="8" customFormat="1" ht="20.25" x14ac:dyDescent="0.2">
      <c r="B22" s="24">
        <v>2</v>
      </c>
      <c r="C22" s="113"/>
      <c r="D22" s="113"/>
      <c r="E22" s="113"/>
      <c r="F22" s="113"/>
      <c r="G22" s="113"/>
      <c r="H22" s="115"/>
      <c r="I22" s="116"/>
      <c r="J22" s="117"/>
      <c r="K22" s="115"/>
      <c r="L22" s="115"/>
      <c r="M22" s="113"/>
      <c r="N22" s="118"/>
      <c r="O22" s="119"/>
      <c r="P22" s="119"/>
      <c r="Q22" s="113"/>
      <c r="R22" s="119"/>
      <c r="S22" s="115"/>
      <c r="T22" s="115"/>
      <c r="U22" s="115"/>
      <c r="V22" s="115"/>
      <c r="W22" s="113"/>
      <c r="X22" s="113"/>
      <c r="Y22" s="113"/>
      <c r="Z22" s="113"/>
      <c r="AA22" s="120"/>
      <c r="AB22" s="115"/>
      <c r="AC22" s="116"/>
      <c r="AD22" s="121"/>
      <c r="AE22" s="121"/>
      <c r="AF22" s="122"/>
      <c r="AG22" s="122"/>
      <c r="AH22" s="122"/>
      <c r="AI22" s="107">
        <f t="shared" si="0"/>
        <v>0</v>
      </c>
    </row>
    <row r="23" spans="1:36" s="8" customFormat="1" ht="20.25" x14ac:dyDescent="0.2">
      <c r="B23" s="24">
        <v>3</v>
      </c>
      <c r="C23" s="113"/>
      <c r="D23" s="113"/>
      <c r="E23" s="113"/>
      <c r="F23" s="113"/>
      <c r="G23" s="113"/>
      <c r="H23" s="115"/>
      <c r="I23" s="116"/>
      <c r="J23" s="117"/>
      <c r="K23" s="115"/>
      <c r="L23" s="115"/>
      <c r="M23" s="113"/>
      <c r="N23" s="118"/>
      <c r="O23" s="119"/>
      <c r="P23" s="119"/>
      <c r="Q23" s="113"/>
      <c r="R23" s="119"/>
      <c r="S23" s="115"/>
      <c r="T23" s="115"/>
      <c r="U23" s="115"/>
      <c r="V23" s="115"/>
      <c r="W23" s="113"/>
      <c r="X23" s="113"/>
      <c r="Y23" s="113"/>
      <c r="Z23" s="113"/>
      <c r="AA23" s="120"/>
      <c r="AB23" s="115"/>
      <c r="AC23" s="116"/>
      <c r="AD23" s="121"/>
      <c r="AE23" s="121"/>
      <c r="AF23" s="122"/>
      <c r="AG23" s="122"/>
      <c r="AH23" s="122"/>
      <c r="AI23" s="107">
        <f t="shared" si="0"/>
        <v>0</v>
      </c>
    </row>
    <row r="24" spans="1:36" s="8" customFormat="1" ht="20.25" x14ac:dyDescent="0.2">
      <c r="B24" s="24">
        <v>4</v>
      </c>
      <c r="C24" s="113"/>
      <c r="D24" s="113"/>
      <c r="E24" s="113"/>
      <c r="F24" s="113"/>
      <c r="G24" s="113"/>
      <c r="H24" s="115"/>
      <c r="I24" s="116"/>
      <c r="J24" s="117"/>
      <c r="K24" s="115"/>
      <c r="L24" s="115"/>
      <c r="M24" s="113"/>
      <c r="N24" s="118"/>
      <c r="O24" s="119"/>
      <c r="P24" s="119"/>
      <c r="Q24" s="113"/>
      <c r="R24" s="119"/>
      <c r="S24" s="115"/>
      <c r="T24" s="115"/>
      <c r="U24" s="115"/>
      <c r="V24" s="115"/>
      <c r="W24" s="113"/>
      <c r="X24" s="113"/>
      <c r="Y24" s="113"/>
      <c r="Z24" s="113"/>
      <c r="AA24" s="120"/>
      <c r="AB24" s="115"/>
      <c r="AC24" s="116"/>
      <c r="AD24" s="121"/>
      <c r="AE24" s="121"/>
      <c r="AF24" s="122"/>
      <c r="AG24" s="122"/>
      <c r="AH24" s="122"/>
      <c r="AI24" s="107">
        <f t="shared" si="0"/>
        <v>0</v>
      </c>
    </row>
    <row r="25" spans="1:36" s="8" customFormat="1" ht="20.25" x14ac:dyDescent="0.2">
      <c r="B25" s="24">
        <v>5</v>
      </c>
      <c r="C25" s="113"/>
      <c r="D25" s="113"/>
      <c r="E25" s="113"/>
      <c r="F25" s="113"/>
      <c r="G25" s="113"/>
      <c r="H25" s="115"/>
      <c r="I25" s="116"/>
      <c r="J25" s="117"/>
      <c r="K25" s="115"/>
      <c r="L25" s="115"/>
      <c r="M25" s="113"/>
      <c r="N25" s="118"/>
      <c r="O25" s="119"/>
      <c r="P25" s="119"/>
      <c r="Q25" s="113"/>
      <c r="R25" s="119"/>
      <c r="S25" s="115"/>
      <c r="T25" s="115"/>
      <c r="U25" s="115"/>
      <c r="V25" s="115"/>
      <c r="W25" s="113"/>
      <c r="X25" s="113"/>
      <c r="Y25" s="113"/>
      <c r="Z25" s="113"/>
      <c r="AA25" s="120"/>
      <c r="AB25" s="115"/>
      <c r="AC25" s="116"/>
      <c r="AD25" s="121"/>
      <c r="AE25" s="121"/>
      <c r="AF25" s="122"/>
      <c r="AG25" s="122"/>
      <c r="AH25" s="122"/>
      <c r="AI25" s="107">
        <f t="shared" si="0"/>
        <v>0</v>
      </c>
    </row>
    <row r="26" spans="1:36" s="8" customFormat="1" ht="20.25" x14ac:dyDescent="0.2">
      <c r="B26" s="24">
        <v>6</v>
      </c>
      <c r="C26" s="113"/>
      <c r="D26" s="113"/>
      <c r="E26" s="113"/>
      <c r="F26" s="113"/>
      <c r="G26" s="113"/>
      <c r="H26" s="115"/>
      <c r="I26" s="116"/>
      <c r="J26" s="117"/>
      <c r="K26" s="115"/>
      <c r="L26" s="115"/>
      <c r="M26" s="113"/>
      <c r="N26" s="118"/>
      <c r="O26" s="119"/>
      <c r="P26" s="119"/>
      <c r="Q26" s="113"/>
      <c r="R26" s="119"/>
      <c r="S26" s="115"/>
      <c r="T26" s="115"/>
      <c r="U26" s="115"/>
      <c r="V26" s="115"/>
      <c r="W26" s="113"/>
      <c r="X26" s="113"/>
      <c r="Y26" s="113"/>
      <c r="Z26" s="113"/>
      <c r="AA26" s="120"/>
      <c r="AB26" s="115"/>
      <c r="AC26" s="116"/>
      <c r="AD26" s="121"/>
      <c r="AE26" s="121"/>
      <c r="AF26" s="123"/>
      <c r="AG26" s="123"/>
      <c r="AH26" s="122"/>
      <c r="AI26" s="107">
        <f t="shared" si="0"/>
        <v>0</v>
      </c>
    </row>
    <row r="27" spans="1:36" s="9" customFormat="1" ht="20.25" x14ac:dyDescent="0.3">
      <c r="B27" s="24">
        <v>7</v>
      </c>
      <c r="C27" s="113"/>
      <c r="D27" s="113"/>
      <c r="E27" s="113"/>
      <c r="F27" s="113"/>
      <c r="G27" s="113"/>
      <c r="H27" s="115"/>
      <c r="I27" s="116"/>
      <c r="J27" s="117"/>
      <c r="K27" s="115"/>
      <c r="L27" s="115"/>
      <c r="M27" s="113"/>
      <c r="N27" s="118"/>
      <c r="O27" s="119"/>
      <c r="P27" s="119"/>
      <c r="Q27" s="113"/>
      <c r="R27" s="119"/>
      <c r="S27" s="115"/>
      <c r="T27" s="115"/>
      <c r="U27" s="115"/>
      <c r="V27" s="115"/>
      <c r="W27" s="113"/>
      <c r="X27" s="113"/>
      <c r="Y27" s="113"/>
      <c r="Z27" s="113"/>
      <c r="AA27" s="120"/>
      <c r="AB27" s="115"/>
      <c r="AC27" s="116"/>
      <c r="AD27" s="121"/>
      <c r="AE27" s="121"/>
      <c r="AF27" s="122"/>
      <c r="AG27" s="122"/>
      <c r="AH27" s="122"/>
      <c r="AI27" s="107">
        <f t="shared" si="0"/>
        <v>0</v>
      </c>
      <c r="AJ27" s="8"/>
    </row>
    <row r="28" spans="1:36" s="9" customFormat="1" ht="20.25" x14ac:dyDescent="0.3">
      <c r="B28" s="24">
        <v>8</v>
      </c>
      <c r="C28" s="113"/>
      <c r="D28" s="113"/>
      <c r="E28" s="113"/>
      <c r="F28" s="113"/>
      <c r="G28" s="113"/>
      <c r="H28" s="115"/>
      <c r="I28" s="116"/>
      <c r="J28" s="117"/>
      <c r="K28" s="115"/>
      <c r="L28" s="115"/>
      <c r="M28" s="113"/>
      <c r="N28" s="118"/>
      <c r="O28" s="119"/>
      <c r="P28" s="119"/>
      <c r="Q28" s="113" t="str">
        <f>IF($P28="","",VLOOKUP($P28,Лист1!$S$5:$T$32,2,FALSE))</f>
        <v/>
      </c>
      <c r="R28" s="119"/>
      <c r="S28" s="115"/>
      <c r="T28" s="115"/>
      <c r="U28" s="115"/>
      <c r="V28" s="115"/>
      <c r="W28" s="113"/>
      <c r="X28" s="113"/>
      <c r="Y28" s="113"/>
      <c r="Z28" s="113"/>
      <c r="AA28" s="120"/>
      <c r="AB28" s="115"/>
      <c r="AC28" s="116"/>
      <c r="AD28" s="121"/>
      <c r="AE28" s="121"/>
      <c r="AF28" s="122"/>
      <c r="AG28" s="122"/>
      <c r="AH28" s="122"/>
      <c r="AI28" s="107">
        <f t="shared" si="0"/>
        <v>0</v>
      </c>
      <c r="AJ28" s="8"/>
    </row>
    <row r="29" spans="1:36" s="9" customFormat="1" ht="20.25" x14ac:dyDescent="0.3">
      <c r="B29" s="24">
        <v>9</v>
      </c>
      <c r="C29" s="113"/>
      <c r="D29" s="113"/>
      <c r="E29" s="113"/>
      <c r="F29" s="113"/>
      <c r="G29" s="113"/>
      <c r="H29" s="115"/>
      <c r="I29" s="116"/>
      <c r="J29" s="117"/>
      <c r="K29" s="115"/>
      <c r="L29" s="115"/>
      <c r="M29" s="113"/>
      <c r="N29" s="118"/>
      <c r="O29" s="119"/>
      <c r="P29" s="119"/>
      <c r="Q29" s="113" t="str">
        <f>IF($P29="","",VLOOKUP($P29,Лист1!$S$5:$T$32,2,FALSE))</f>
        <v/>
      </c>
      <c r="R29" s="119"/>
      <c r="S29" s="115"/>
      <c r="T29" s="115"/>
      <c r="U29" s="115"/>
      <c r="V29" s="115"/>
      <c r="W29" s="113"/>
      <c r="X29" s="113"/>
      <c r="Y29" s="113"/>
      <c r="Z29" s="113"/>
      <c r="AA29" s="120"/>
      <c r="AB29" s="115"/>
      <c r="AC29" s="116"/>
      <c r="AD29" s="121"/>
      <c r="AE29" s="121"/>
      <c r="AF29" s="122"/>
      <c r="AG29" s="122"/>
      <c r="AH29" s="122"/>
      <c r="AI29" s="107">
        <f t="shared" si="0"/>
        <v>0</v>
      </c>
      <c r="AJ29" s="8"/>
    </row>
    <row r="30" spans="1:36" s="9" customFormat="1" ht="20.25" x14ac:dyDescent="0.3">
      <c r="B30" s="24">
        <v>10</v>
      </c>
      <c r="C30" s="113"/>
      <c r="D30" s="113"/>
      <c r="E30" s="113"/>
      <c r="F30" s="113"/>
      <c r="G30" s="113"/>
      <c r="H30" s="115"/>
      <c r="I30" s="116"/>
      <c r="J30" s="117"/>
      <c r="K30" s="115"/>
      <c r="L30" s="115"/>
      <c r="M30" s="113"/>
      <c r="N30" s="118"/>
      <c r="O30" s="119"/>
      <c r="P30" s="119"/>
      <c r="Q30" s="113" t="str">
        <f>IF($P30="","",VLOOKUP($P30,Лист1!$S$5:$T$32,2,FALSE))</f>
        <v/>
      </c>
      <c r="R30" s="119"/>
      <c r="S30" s="115"/>
      <c r="T30" s="115"/>
      <c r="U30" s="115"/>
      <c r="V30" s="115"/>
      <c r="W30" s="113"/>
      <c r="X30" s="113"/>
      <c r="Y30" s="113"/>
      <c r="Z30" s="113"/>
      <c r="AA30" s="120"/>
      <c r="AB30" s="115"/>
      <c r="AC30" s="116"/>
      <c r="AD30" s="121"/>
      <c r="AE30" s="121"/>
      <c r="AF30" s="122"/>
      <c r="AG30" s="122"/>
      <c r="AH30" s="122"/>
      <c r="AI30" s="107">
        <f t="shared" si="0"/>
        <v>0</v>
      </c>
      <c r="AJ30" s="8"/>
    </row>
    <row r="31" spans="1:36" s="9" customFormat="1" ht="20.25" x14ac:dyDescent="0.3">
      <c r="B31" s="24">
        <v>11</v>
      </c>
      <c r="C31" s="113"/>
      <c r="D31" s="113"/>
      <c r="E31" s="113"/>
      <c r="F31" s="113"/>
      <c r="G31" s="113"/>
      <c r="H31" s="115"/>
      <c r="I31" s="116"/>
      <c r="J31" s="117"/>
      <c r="K31" s="115"/>
      <c r="L31" s="115"/>
      <c r="M31" s="113"/>
      <c r="N31" s="118"/>
      <c r="O31" s="119"/>
      <c r="P31" s="119"/>
      <c r="Q31" s="113" t="str">
        <f>IF($P31="","",VLOOKUP($P31,Лист1!$S$5:$T$32,2,FALSE))</f>
        <v/>
      </c>
      <c r="R31" s="119"/>
      <c r="S31" s="115"/>
      <c r="T31" s="115"/>
      <c r="U31" s="115"/>
      <c r="V31" s="115"/>
      <c r="W31" s="113"/>
      <c r="X31" s="113"/>
      <c r="Y31" s="113"/>
      <c r="Z31" s="113"/>
      <c r="AA31" s="120"/>
      <c r="AB31" s="115"/>
      <c r="AC31" s="116"/>
      <c r="AD31" s="121"/>
      <c r="AE31" s="121"/>
      <c r="AF31" s="122"/>
      <c r="AG31" s="122"/>
      <c r="AH31" s="122"/>
      <c r="AI31" s="107">
        <f t="shared" si="0"/>
        <v>0</v>
      </c>
      <c r="AJ31" s="8"/>
    </row>
    <row r="32" spans="1:36" s="9" customFormat="1" ht="20.25" x14ac:dyDescent="0.3">
      <c r="B32" s="24">
        <v>12</v>
      </c>
      <c r="C32" s="113"/>
      <c r="D32" s="113"/>
      <c r="E32" s="113"/>
      <c r="F32" s="113"/>
      <c r="G32" s="113"/>
      <c r="H32" s="115"/>
      <c r="I32" s="116"/>
      <c r="J32" s="117"/>
      <c r="K32" s="115"/>
      <c r="L32" s="115"/>
      <c r="M32" s="113"/>
      <c r="N32" s="118"/>
      <c r="O32" s="119"/>
      <c r="P32" s="119"/>
      <c r="Q32" s="113" t="str">
        <f>IF($P32="","",VLOOKUP($P32,Лист1!$S$5:$T$32,2,FALSE))</f>
        <v/>
      </c>
      <c r="R32" s="119"/>
      <c r="S32" s="115"/>
      <c r="T32" s="115"/>
      <c r="U32" s="115"/>
      <c r="V32" s="115"/>
      <c r="W32" s="113"/>
      <c r="X32" s="113"/>
      <c r="Y32" s="113"/>
      <c r="Z32" s="113"/>
      <c r="AA32" s="120"/>
      <c r="AB32" s="115"/>
      <c r="AC32" s="116"/>
      <c r="AD32" s="121"/>
      <c r="AE32" s="121"/>
      <c r="AF32" s="122"/>
      <c r="AG32" s="122"/>
      <c r="AH32" s="122"/>
      <c r="AI32" s="107">
        <f t="shared" si="0"/>
        <v>0</v>
      </c>
      <c r="AJ32" s="8"/>
    </row>
    <row r="33" spans="2:36" s="9" customFormat="1" ht="20.25" x14ac:dyDescent="0.3">
      <c r="B33" s="24">
        <v>13</v>
      </c>
      <c r="C33" s="113"/>
      <c r="D33" s="113"/>
      <c r="E33" s="113"/>
      <c r="F33" s="113"/>
      <c r="G33" s="113"/>
      <c r="H33" s="115"/>
      <c r="I33" s="116"/>
      <c r="J33" s="117"/>
      <c r="K33" s="115"/>
      <c r="L33" s="115"/>
      <c r="M33" s="113"/>
      <c r="N33" s="118"/>
      <c r="O33" s="119"/>
      <c r="P33" s="119"/>
      <c r="Q33" s="113" t="str">
        <f>IF($P33="","",VLOOKUP($P33,Лист1!$S$5:$T$32,2,FALSE))</f>
        <v/>
      </c>
      <c r="R33" s="119"/>
      <c r="S33" s="115"/>
      <c r="T33" s="115"/>
      <c r="U33" s="115"/>
      <c r="V33" s="115"/>
      <c r="W33" s="113"/>
      <c r="X33" s="113"/>
      <c r="Y33" s="113"/>
      <c r="Z33" s="113"/>
      <c r="AA33" s="120"/>
      <c r="AB33" s="115"/>
      <c r="AC33" s="116"/>
      <c r="AD33" s="121"/>
      <c r="AE33" s="121"/>
      <c r="AF33" s="122"/>
      <c r="AG33" s="122"/>
      <c r="AH33" s="122"/>
      <c r="AI33" s="107">
        <f t="shared" si="0"/>
        <v>0</v>
      </c>
      <c r="AJ33" s="8"/>
    </row>
    <row r="34" spans="2:36" s="9" customFormat="1" ht="20.25" x14ac:dyDescent="0.3">
      <c r="B34" s="24">
        <v>14</v>
      </c>
      <c r="C34" s="113"/>
      <c r="D34" s="113"/>
      <c r="E34" s="113"/>
      <c r="F34" s="113"/>
      <c r="G34" s="113"/>
      <c r="H34" s="115"/>
      <c r="I34" s="116"/>
      <c r="J34" s="117"/>
      <c r="K34" s="115"/>
      <c r="L34" s="115"/>
      <c r="M34" s="113"/>
      <c r="N34" s="118"/>
      <c r="O34" s="119"/>
      <c r="P34" s="119"/>
      <c r="Q34" s="113" t="str">
        <f>IF($P34="","",VLOOKUP($P34,Лист1!$S$5:$T$32,2,FALSE))</f>
        <v/>
      </c>
      <c r="R34" s="119"/>
      <c r="S34" s="115"/>
      <c r="T34" s="115"/>
      <c r="U34" s="115"/>
      <c r="V34" s="115"/>
      <c r="W34" s="113"/>
      <c r="X34" s="113"/>
      <c r="Y34" s="113"/>
      <c r="Z34" s="113"/>
      <c r="AA34" s="120"/>
      <c r="AB34" s="115"/>
      <c r="AC34" s="116"/>
      <c r="AD34" s="121"/>
      <c r="AE34" s="121"/>
      <c r="AF34" s="122"/>
      <c r="AG34" s="122"/>
      <c r="AH34" s="122"/>
      <c r="AI34" s="107">
        <f t="shared" si="0"/>
        <v>0</v>
      </c>
      <c r="AJ34" s="8"/>
    </row>
    <row r="35" spans="2:36" s="9" customFormat="1" ht="20.25" x14ac:dyDescent="0.3">
      <c r="B35" s="24">
        <v>15</v>
      </c>
      <c r="C35" s="113"/>
      <c r="D35" s="113"/>
      <c r="E35" s="113"/>
      <c r="F35" s="113"/>
      <c r="G35" s="113"/>
      <c r="H35" s="115"/>
      <c r="I35" s="116"/>
      <c r="J35" s="117"/>
      <c r="K35" s="115"/>
      <c r="L35" s="115"/>
      <c r="M35" s="113"/>
      <c r="N35" s="118"/>
      <c r="O35" s="119"/>
      <c r="P35" s="119"/>
      <c r="Q35" s="113" t="str">
        <f>IF($P35="","",VLOOKUP($P35,Лист1!$S$5:$T$32,2,FALSE))</f>
        <v/>
      </c>
      <c r="R35" s="119"/>
      <c r="S35" s="115"/>
      <c r="T35" s="115"/>
      <c r="U35" s="115"/>
      <c r="V35" s="115"/>
      <c r="W35" s="113"/>
      <c r="X35" s="113"/>
      <c r="Y35" s="113"/>
      <c r="Z35" s="113"/>
      <c r="AA35" s="120"/>
      <c r="AB35" s="115"/>
      <c r="AC35" s="116"/>
      <c r="AD35" s="121"/>
      <c r="AE35" s="121"/>
      <c r="AF35" s="122"/>
      <c r="AG35" s="122"/>
      <c r="AH35" s="122"/>
      <c r="AI35" s="107">
        <f t="shared" si="0"/>
        <v>0</v>
      </c>
      <c r="AJ35" s="8"/>
    </row>
    <row r="36" spans="2:36" s="9" customFormat="1" ht="20.25" x14ac:dyDescent="0.3">
      <c r="B36" s="24">
        <v>16</v>
      </c>
      <c r="C36" s="113"/>
      <c r="D36" s="113"/>
      <c r="E36" s="113"/>
      <c r="F36" s="113"/>
      <c r="G36" s="113"/>
      <c r="H36" s="115"/>
      <c r="I36" s="116"/>
      <c r="J36" s="117"/>
      <c r="K36" s="115"/>
      <c r="L36" s="115"/>
      <c r="M36" s="113"/>
      <c r="N36" s="118"/>
      <c r="O36" s="119"/>
      <c r="P36" s="119"/>
      <c r="Q36" s="113" t="str">
        <f>IF($P36="","",VLOOKUP($P36,Лист1!$S$5:$T$32,2,FALSE))</f>
        <v/>
      </c>
      <c r="R36" s="119"/>
      <c r="S36" s="115"/>
      <c r="T36" s="115"/>
      <c r="U36" s="115"/>
      <c r="V36" s="115"/>
      <c r="W36" s="113"/>
      <c r="X36" s="113"/>
      <c r="Y36" s="113"/>
      <c r="Z36" s="113"/>
      <c r="AA36" s="120"/>
      <c r="AB36" s="115"/>
      <c r="AC36" s="116"/>
      <c r="AD36" s="121"/>
      <c r="AE36" s="121"/>
      <c r="AF36" s="122"/>
      <c r="AG36" s="122"/>
      <c r="AH36" s="122"/>
      <c r="AI36" s="107">
        <f t="shared" si="0"/>
        <v>0</v>
      </c>
      <c r="AJ36" s="8"/>
    </row>
    <row r="37" spans="2:36" s="9" customFormat="1" ht="20.25" x14ac:dyDescent="0.3">
      <c r="B37" s="24">
        <v>17</v>
      </c>
      <c r="C37" s="113"/>
      <c r="D37" s="113"/>
      <c r="E37" s="113"/>
      <c r="F37" s="113"/>
      <c r="G37" s="113"/>
      <c r="H37" s="115"/>
      <c r="I37" s="116"/>
      <c r="J37" s="117"/>
      <c r="K37" s="115"/>
      <c r="L37" s="115"/>
      <c r="M37" s="113"/>
      <c r="N37" s="118"/>
      <c r="O37" s="119"/>
      <c r="P37" s="119"/>
      <c r="Q37" s="113" t="str">
        <f>IF($P37="","",VLOOKUP($P37,Лист1!$S$5:$T$32,2,FALSE))</f>
        <v/>
      </c>
      <c r="R37" s="119"/>
      <c r="S37" s="115"/>
      <c r="T37" s="115"/>
      <c r="U37" s="115"/>
      <c r="V37" s="115"/>
      <c r="W37" s="113"/>
      <c r="X37" s="113"/>
      <c r="Y37" s="113"/>
      <c r="Z37" s="113"/>
      <c r="AA37" s="120"/>
      <c r="AB37" s="115"/>
      <c r="AC37" s="116"/>
      <c r="AD37" s="121"/>
      <c r="AE37" s="121"/>
      <c r="AF37" s="114"/>
      <c r="AG37" s="114"/>
      <c r="AH37" s="122"/>
      <c r="AI37" s="107">
        <f t="shared" si="0"/>
        <v>0</v>
      </c>
      <c r="AJ37" s="8"/>
    </row>
    <row r="38" spans="2:36" s="9" customFormat="1" ht="20.25" x14ac:dyDescent="0.3">
      <c r="B38" s="24">
        <v>18</v>
      </c>
      <c r="C38" s="113"/>
      <c r="D38" s="113"/>
      <c r="E38" s="113"/>
      <c r="F38" s="113"/>
      <c r="G38" s="113"/>
      <c r="H38" s="115"/>
      <c r="I38" s="116"/>
      <c r="J38" s="117"/>
      <c r="K38" s="115"/>
      <c r="L38" s="115"/>
      <c r="M38" s="113"/>
      <c r="N38" s="118"/>
      <c r="O38" s="119"/>
      <c r="P38" s="119"/>
      <c r="Q38" s="113" t="str">
        <f>IF($P38="","",VLOOKUP($P38,Лист1!$S$5:$T$32,2,FALSE))</f>
        <v/>
      </c>
      <c r="R38" s="119"/>
      <c r="S38" s="115"/>
      <c r="T38" s="115"/>
      <c r="U38" s="115"/>
      <c r="V38" s="115"/>
      <c r="W38" s="113"/>
      <c r="X38" s="113"/>
      <c r="Y38" s="113"/>
      <c r="Z38" s="113"/>
      <c r="AA38" s="120"/>
      <c r="AB38" s="115"/>
      <c r="AC38" s="116"/>
      <c r="AD38" s="121"/>
      <c r="AE38" s="121"/>
      <c r="AF38" s="114"/>
      <c r="AG38" s="114"/>
      <c r="AH38" s="122"/>
      <c r="AI38" s="107">
        <f t="shared" si="0"/>
        <v>0</v>
      </c>
      <c r="AJ38" s="8"/>
    </row>
    <row r="39" spans="2:36" s="9" customFormat="1" ht="20.25" x14ac:dyDescent="0.3">
      <c r="B39" s="24">
        <v>19</v>
      </c>
      <c r="C39" s="113"/>
      <c r="D39" s="113"/>
      <c r="E39" s="113"/>
      <c r="F39" s="113"/>
      <c r="G39" s="113"/>
      <c r="H39" s="115"/>
      <c r="I39" s="116"/>
      <c r="J39" s="117"/>
      <c r="K39" s="115"/>
      <c r="L39" s="115"/>
      <c r="M39" s="113"/>
      <c r="N39" s="118"/>
      <c r="O39" s="119"/>
      <c r="P39" s="119"/>
      <c r="Q39" s="113" t="str">
        <f>IF($P39="","",VLOOKUP($P39,Лист1!$S$5:$T$32,2,FALSE))</f>
        <v/>
      </c>
      <c r="R39" s="119"/>
      <c r="S39" s="115"/>
      <c r="T39" s="115"/>
      <c r="U39" s="115"/>
      <c r="V39" s="115"/>
      <c r="W39" s="113"/>
      <c r="X39" s="113"/>
      <c r="Y39" s="113"/>
      <c r="Z39" s="113"/>
      <c r="AA39" s="120"/>
      <c r="AB39" s="115"/>
      <c r="AC39" s="116"/>
      <c r="AD39" s="121"/>
      <c r="AE39" s="121"/>
      <c r="AF39" s="114"/>
      <c r="AG39" s="114"/>
      <c r="AH39" s="122"/>
      <c r="AI39" s="107">
        <f t="shared" si="0"/>
        <v>0</v>
      </c>
      <c r="AJ39" s="8"/>
    </row>
    <row r="40" spans="2:36" s="9" customFormat="1" ht="20.25" x14ac:dyDescent="0.3">
      <c r="B40" s="24">
        <v>20</v>
      </c>
      <c r="C40" s="113"/>
      <c r="D40" s="113"/>
      <c r="E40" s="113"/>
      <c r="F40" s="113"/>
      <c r="G40" s="113"/>
      <c r="H40" s="115"/>
      <c r="I40" s="116"/>
      <c r="J40" s="117"/>
      <c r="K40" s="115"/>
      <c r="L40" s="115"/>
      <c r="M40" s="113"/>
      <c r="N40" s="118"/>
      <c r="O40" s="119"/>
      <c r="P40" s="119"/>
      <c r="Q40" s="113" t="str">
        <f>IF($P40="","",VLOOKUP($P40,Лист1!$S$5:$T$32,2,FALSE))</f>
        <v/>
      </c>
      <c r="R40" s="119"/>
      <c r="S40" s="115"/>
      <c r="T40" s="115"/>
      <c r="U40" s="115"/>
      <c r="V40" s="115"/>
      <c r="W40" s="113"/>
      <c r="X40" s="113"/>
      <c r="Y40" s="113"/>
      <c r="Z40" s="113"/>
      <c r="AA40" s="120"/>
      <c r="AB40" s="115"/>
      <c r="AC40" s="116"/>
      <c r="AD40" s="121"/>
      <c r="AE40" s="121"/>
      <c r="AF40" s="114"/>
      <c r="AG40" s="114"/>
      <c r="AH40" s="122"/>
      <c r="AI40" s="107">
        <f t="shared" si="0"/>
        <v>0</v>
      </c>
      <c r="AJ40" s="8"/>
    </row>
    <row r="41" spans="2:36" s="9" customFormat="1" ht="20.25" x14ac:dyDescent="0.3">
      <c r="B41" s="24">
        <v>21</v>
      </c>
      <c r="C41" s="113"/>
      <c r="D41" s="113"/>
      <c r="E41" s="113"/>
      <c r="F41" s="113"/>
      <c r="G41" s="113"/>
      <c r="H41" s="115"/>
      <c r="I41" s="116"/>
      <c r="J41" s="117"/>
      <c r="K41" s="115"/>
      <c r="L41" s="115"/>
      <c r="M41" s="113"/>
      <c r="N41" s="118"/>
      <c r="O41" s="119"/>
      <c r="P41" s="119"/>
      <c r="Q41" s="113" t="str">
        <f>IF($P41="","",VLOOKUP($P41,Лист1!$S$5:$T$32,2,FALSE))</f>
        <v/>
      </c>
      <c r="R41" s="119"/>
      <c r="S41" s="115"/>
      <c r="T41" s="115"/>
      <c r="U41" s="115"/>
      <c r="V41" s="115"/>
      <c r="W41" s="113"/>
      <c r="X41" s="113"/>
      <c r="Y41" s="113"/>
      <c r="Z41" s="113"/>
      <c r="AA41" s="120"/>
      <c r="AB41" s="115"/>
      <c r="AC41" s="116"/>
      <c r="AD41" s="121"/>
      <c r="AE41" s="121"/>
      <c r="AF41" s="114"/>
      <c r="AG41" s="114"/>
      <c r="AH41" s="122"/>
      <c r="AI41" s="107">
        <f t="shared" si="0"/>
        <v>0</v>
      </c>
      <c r="AJ41" s="8"/>
    </row>
    <row r="42" spans="2:36" s="9" customFormat="1" ht="20.25" x14ac:dyDescent="0.3">
      <c r="B42" s="24">
        <v>22</v>
      </c>
      <c r="C42" s="113"/>
      <c r="D42" s="113"/>
      <c r="E42" s="113"/>
      <c r="F42" s="113"/>
      <c r="G42" s="113"/>
      <c r="H42" s="115"/>
      <c r="I42" s="116"/>
      <c r="J42" s="117"/>
      <c r="K42" s="115"/>
      <c r="L42" s="115"/>
      <c r="M42" s="113"/>
      <c r="N42" s="118"/>
      <c r="O42" s="119"/>
      <c r="P42" s="119"/>
      <c r="Q42" s="113" t="str">
        <f>IF($P42="","",VLOOKUP($P42,Лист1!$S$5:$T$32,2,FALSE))</f>
        <v/>
      </c>
      <c r="R42" s="119"/>
      <c r="S42" s="115"/>
      <c r="T42" s="115"/>
      <c r="U42" s="115"/>
      <c r="V42" s="115"/>
      <c r="W42" s="113"/>
      <c r="X42" s="113"/>
      <c r="Y42" s="113"/>
      <c r="Z42" s="113"/>
      <c r="AA42" s="120"/>
      <c r="AB42" s="115"/>
      <c r="AC42" s="116"/>
      <c r="AD42" s="121"/>
      <c r="AE42" s="121"/>
      <c r="AF42" s="114"/>
      <c r="AG42" s="114"/>
      <c r="AH42" s="122"/>
      <c r="AI42" s="107">
        <f t="shared" si="0"/>
        <v>0</v>
      </c>
      <c r="AJ42" s="8"/>
    </row>
    <row r="43" spans="2:36" s="9" customFormat="1" ht="20.25" x14ac:dyDescent="0.3">
      <c r="B43" s="24">
        <v>23</v>
      </c>
      <c r="C43" s="113"/>
      <c r="D43" s="113"/>
      <c r="E43" s="113"/>
      <c r="F43" s="113"/>
      <c r="G43" s="113"/>
      <c r="H43" s="115"/>
      <c r="I43" s="116"/>
      <c r="J43" s="117"/>
      <c r="K43" s="115"/>
      <c r="L43" s="115"/>
      <c r="M43" s="113"/>
      <c r="N43" s="118"/>
      <c r="O43" s="119"/>
      <c r="P43" s="119"/>
      <c r="Q43" s="113" t="str">
        <f>IF($P43="","",VLOOKUP($P43,Лист1!$S$5:$T$32,2,FALSE))</f>
        <v/>
      </c>
      <c r="R43" s="119"/>
      <c r="S43" s="115"/>
      <c r="T43" s="115"/>
      <c r="U43" s="115"/>
      <c r="V43" s="115"/>
      <c r="W43" s="113"/>
      <c r="X43" s="113"/>
      <c r="Y43" s="113"/>
      <c r="Z43" s="113"/>
      <c r="AA43" s="120"/>
      <c r="AB43" s="115"/>
      <c r="AC43" s="116"/>
      <c r="AD43" s="121"/>
      <c r="AE43" s="121"/>
      <c r="AF43" s="114"/>
      <c r="AG43" s="114"/>
      <c r="AH43" s="122"/>
      <c r="AI43" s="107">
        <f t="shared" si="0"/>
        <v>0</v>
      </c>
      <c r="AJ43" s="8"/>
    </row>
    <row r="44" spans="2:36" s="9" customFormat="1" ht="20.25" x14ac:dyDescent="0.3">
      <c r="B44" s="24">
        <v>24</v>
      </c>
      <c r="C44" s="113"/>
      <c r="D44" s="113"/>
      <c r="E44" s="113"/>
      <c r="F44" s="113"/>
      <c r="G44" s="113"/>
      <c r="H44" s="115"/>
      <c r="I44" s="116"/>
      <c r="J44" s="117"/>
      <c r="K44" s="115"/>
      <c r="L44" s="115"/>
      <c r="M44" s="113"/>
      <c r="N44" s="118"/>
      <c r="O44" s="119"/>
      <c r="P44" s="119"/>
      <c r="Q44" s="113" t="str">
        <f>IF($P44="","",VLOOKUP($P44,Лист1!$S$5:$T$32,2,FALSE))</f>
        <v/>
      </c>
      <c r="R44" s="119"/>
      <c r="S44" s="115"/>
      <c r="T44" s="115"/>
      <c r="U44" s="115"/>
      <c r="V44" s="115"/>
      <c r="W44" s="113"/>
      <c r="X44" s="113"/>
      <c r="Y44" s="113"/>
      <c r="Z44" s="113"/>
      <c r="AA44" s="120"/>
      <c r="AB44" s="115"/>
      <c r="AC44" s="116"/>
      <c r="AD44" s="121"/>
      <c r="AE44" s="121"/>
      <c r="AF44" s="114"/>
      <c r="AG44" s="114"/>
      <c r="AH44" s="122"/>
      <c r="AI44" s="107">
        <f t="shared" ref="AI44:AI65" si="1">C44*D44/1000000*E44</f>
        <v>0</v>
      </c>
      <c r="AJ44" s="8"/>
    </row>
    <row r="45" spans="2:36" s="9" customFormat="1" ht="20.25" x14ac:dyDescent="0.3">
      <c r="B45" s="24">
        <v>25</v>
      </c>
      <c r="C45" s="113"/>
      <c r="D45" s="113"/>
      <c r="E45" s="113"/>
      <c r="F45" s="113"/>
      <c r="G45" s="113"/>
      <c r="H45" s="115"/>
      <c r="I45" s="116"/>
      <c r="J45" s="117"/>
      <c r="K45" s="115"/>
      <c r="L45" s="115"/>
      <c r="M45" s="113"/>
      <c r="N45" s="118"/>
      <c r="O45" s="119"/>
      <c r="P45" s="119"/>
      <c r="Q45" s="113" t="str">
        <f>IF($P45="","",VLOOKUP($P45,Лист1!$S$5:$T$32,2,FALSE))</f>
        <v/>
      </c>
      <c r="R45" s="119"/>
      <c r="S45" s="115"/>
      <c r="T45" s="115"/>
      <c r="U45" s="115"/>
      <c r="V45" s="115"/>
      <c r="W45" s="113"/>
      <c r="X45" s="113"/>
      <c r="Y45" s="113"/>
      <c r="Z45" s="113"/>
      <c r="AA45" s="120"/>
      <c r="AB45" s="115"/>
      <c r="AC45" s="116"/>
      <c r="AD45" s="121"/>
      <c r="AE45" s="121"/>
      <c r="AF45" s="114"/>
      <c r="AG45" s="114"/>
      <c r="AH45" s="122"/>
      <c r="AI45" s="107">
        <f t="shared" si="1"/>
        <v>0</v>
      </c>
      <c r="AJ45" s="8"/>
    </row>
    <row r="46" spans="2:36" s="9" customFormat="1" ht="20.25" x14ac:dyDescent="0.3">
      <c r="B46" s="24">
        <v>26</v>
      </c>
      <c r="C46" s="113"/>
      <c r="D46" s="113"/>
      <c r="E46" s="113"/>
      <c r="F46" s="113"/>
      <c r="G46" s="113"/>
      <c r="H46" s="115"/>
      <c r="I46" s="116"/>
      <c r="J46" s="117"/>
      <c r="K46" s="115"/>
      <c r="L46" s="115"/>
      <c r="M46" s="113"/>
      <c r="N46" s="118"/>
      <c r="O46" s="119"/>
      <c r="P46" s="119"/>
      <c r="Q46" s="113" t="str">
        <f>IF($P46="","",VLOOKUP($P46,Лист1!$S$5:$T$32,2,FALSE))</f>
        <v/>
      </c>
      <c r="R46" s="119"/>
      <c r="S46" s="115"/>
      <c r="T46" s="115"/>
      <c r="U46" s="115"/>
      <c r="V46" s="115"/>
      <c r="W46" s="113"/>
      <c r="X46" s="113"/>
      <c r="Y46" s="113"/>
      <c r="Z46" s="113"/>
      <c r="AA46" s="120"/>
      <c r="AB46" s="115"/>
      <c r="AC46" s="116"/>
      <c r="AD46" s="121"/>
      <c r="AE46" s="121"/>
      <c r="AF46" s="114"/>
      <c r="AG46" s="114"/>
      <c r="AH46" s="122"/>
      <c r="AI46" s="107">
        <f t="shared" si="1"/>
        <v>0</v>
      </c>
      <c r="AJ46" s="8"/>
    </row>
    <row r="47" spans="2:36" s="9" customFormat="1" ht="20.25" x14ac:dyDescent="0.3">
      <c r="B47" s="24">
        <v>27</v>
      </c>
      <c r="C47" s="113"/>
      <c r="D47" s="113"/>
      <c r="E47" s="113"/>
      <c r="F47" s="113"/>
      <c r="G47" s="113"/>
      <c r="H47" s="115"/>
      <c r="I47" s="116"/>
      <c r="J47" s="117"/>
      <c r="K47" s="115"/>
      <c r="L47" s="115"/>
      <c r="M47" s="113"/>
      <c r="N47" s="118"/>
      <c r="O47" s="119"/>
      <c r="P47" s="119"/>
      <c r="Q47" s="113" t="str">
        <f>IF($P47="","",VLOOKUP($P47,Лист1!$S$5:$T$32,2,FALSE))</f>
        <v/>
      </c>
      <c r="R47" s="119"/>
      <c r="S47" s="115"/>
      <c r="T47" s="115"/>
      <c r="U47" s="115"/>
      <c r="V47" s="115"/>
      <c r="W47" s="113"/>
      <c r="X47" s="113"/>
      <c r="Y47" s="113"/>
      <c r="Z47" s="113"/>
      <c r="AA47" s="120"/>
      <c r="AB47" s="115"/>
      <c r="AC47" s="116"/>
      <c r="AD47" s="121"/>
      <c r="AE47" s="121"/>
      <c r="AF47" s="114"/>
      <c r="AG47" s="114"/>
      <c r="AH47" s="122"/>
      <c r="AI47" s="107">
        <f t="shared" si="1"/>
        <v>0</v>
      </c>
      <c r="AJ47" s="8"/>
    </row>
    <row r="48" spans="2:36" s="9" customFormat="1" ht="20.25" x14ac:dyDescent="0.3">
      <c r="B48" s="24">
        <v>28</v>
      </c>
      <c r="C48" s="113"/>
      <c r="D48" s="113"/>
      <c r="E48" s="113"/>
      <c r="F48" s="113"/>
      <c r="G48" s="113"/>
      <c r="H48" s="115"/>
      <c r="I48" s="116"/>
      <c r="J48" s="117"/>
      <c r="K48" s="115"/>
      <c r="L48" s="115"/>
      <c r="M48" s="113"/>
      <c r="N48" s="118"/>
      <c r="O48" s="119"/>
      <c r="P48" s="119"/>
      <c r="Q48" s="113" t="str">
        <f>IF($P48="","",VLOOKUP($P48,Лист1!$S$5:$T$32,2,FALSE))</f>
        <v/>
      </c>
      <c r="R48" s="119"/>
      <c r="S48" s="115"/>
      <c r="T48" s="115"/>
      <c r="U48" s="115"/>
      <c r="V48" s="115"/>
      <c r="W48" s="113"/>
      <c r="X48" s="113"/>
      <c r="Y48" s="113"/>
      <c r="Z48" s="113"/>
      <c r="AA48" s="120"/>
      <c r="AB48" s="115"/>
      <c r="AC48" s="116"/>
      <c r="AD48" s="121"/>
      <c r="AE48" s="121"/>
      <c r="AF48" s="114"/>
      <c r="AG48" s="114"/>
      <c r="AH48" s="122"/>
      <c r="AI48" s="107">
        <f t="shared" si="1"/>
        <v>0</v>
      </c>
      <c r="AJ48" s="8"/>
    </row>
    <row r="49" spans="2:36" s="9" customFormat="1" ht="20.25" x14ac:dyDescent="0.3">
      <c r="B49" s="24">
        <v>29</v>
      </c>
      <c r="C49" s="113"/>
      <c r="D49" s="113"/>
      <c r="E49" s="113"/>
      <c r="F49" s="113"/>
      <c r="G49" s="113"/>
      <c r="H49" s="115"/>
      <c r="I49" s="116"/>
      <c r="J49" s="117"/>
      <c r="K49" s="115"/>
      <c r="L49" s="115"/>
      <c r="M49" s="113"/>
      <c r="N49" s="118"/>
      <c r="O49" s="119"/>
      <c r="P49" s="119"/>
      <c r="Q49" s="113" t="str">
        <f>IF($P49="","",VLOOKUP($P49,Лист1!$S$5:$T$32,2,FALSE))</f>
        <v/>
      </c>
      <c r="R49" s="119"/>
      <c r="S49" s="115"/>
      <c r="T49" s="115"/>
      <c r="U49" s="115"/>
      <c r="V49" s="115"/>
      <c r="W49" s="113"/>
      <c r="X49" s="113"/>
      <c r="Y49" s="113"/>
      <c r="Z49" s="113"/>
      <c r="AA49" s="120"/>
      <c r="AB49" s="115"/>
      <c r="AC49" s="116"/>
      <c r="AD49" s="121"/>
      <c r="AE49" s="121"/>
      <c r="AF49" s="114"/>
      <c r="AG49" s="114"/>
      <c r="AH49" s="122"/>
      <c r="AI49" s="107">
        <f t="shared" si="1"/>
        <v>0</v>
      </c>
      <c r="AJ49" s="8"/>
    </row>
    <row r="50" spans="2:36" s="9" customFormat="1" ht="20.25" x14ac:dyDescent="0.3">
      <c r="B50" s="24">
        <v>30</v>
      </c>
      <c r="C50" s="113"/>
      <c r="D50" s="113"/>
      <c r="E50" s="113"/>
      <c r="F50" s="113"/>
      <c r="G50" s="113"/>
      <c r="H50" s="115"/>
      <c r="I50" s="116"/>
      <c r="J50" s="117"/>
      <c r="K50" s="115"/>
      <c r="L50" s="115"/>
      <c r="M50" s="113"/>
      <c r="N50" s="118"/>
      <c r="O50" s="119"/>
      <c r="P50" s="119"/>
      <c r="Q50" s="113" t="str">
        <f>IF($P50="","",VLOOKUP($P50,Лист1!$S$5:$T$32,2,FALSE))</f>
        <v/>
      </c>
      <c r="R50" s="119"/>
      <c r="S50" s="115"/>
      <c r="T50" s="115"/>
      <c r="U50" s="115"/>
      <c r="V50" s="115"/>
      <c r="W50" s="113"/>
      <c r="X50" s="113"/>
      <c r="Y50" s="113"/>
      <c r="Z50" s="113"/>
      <c r="AA50" s="120"/>
      <c r="AB50" s="115"/>
      <c r="AC50" s="116"/>
      <c r="AD50" s="121"/>
      <c r="AE50" s="121"/>
      <c r="AF50" s="114"/>
      <c r="AG50" s="114"/>
      <c r="AH50" s="122"/>
      <c r="AI50" s="107">
        <f t="shared" si="1"/>
        <v>0</v>
      </c>
      <c r="AJ50" s="8"/>
    </row>
    <row r="51" spans="2:36" s="9" customFormat="1" ht="20.25" x14ac:dyDescent="0.3">
      <c r="B51" s="24">
        <v>31</v>
      </c>
      <c r="C51" s="113"/>
      <c r="D51" s="113"/>
      <c r="E51" s="113"/>
      <c r="F51" s="113"/>
      <c r="G51" s="113"/>
      <c r="H51" s="115"/>
      <c r="I51" s="116"/>
      <c r="J51" s="117"/>
      <c r="K51" s="115"/>
      <c r="L51" s="115"/>
      <c r="M51" s="113"/>
      <c r="N51" s="118"/>
      <c r="O51" s="119"/>
      <c r="P51" s="119"/>
      <c r="Q51" s="113" t="str">
        <f>IF($P51="","",VLOOKUP($P51,Лист1!$S$5:$T$32,2,FALSE))</f>
        <v/>
      </c>
      <c r="R51" s="119"/>
      <c r="S51" s="115"/>
      <c r="T51" s="115"/>
      <c r="U51" s="115"/>
      <c r="V51" s="115"/>
      <c r="W51" s="113"/>
      <c r="X51" s="113"/>
      <c r="Y51" s="113"/>
      <c r="Z51" s="113"/>
      <c r="AA51" s="120"/>
      <c r="AB51" s="115"/>
      <c r="AC51" s="116"/>
      <c r="AD51" s="121"/>
      <c r="AE51" s="121"/>
      <c r="AF51" s="114"/>
      <c r="AG51" s="114"/>
      <c r="AH51" s="122"/>
      <c r="AI51" s="107">
        <f t="shared" si="1"/>
        <v>0</v>
      </c>
      <c r="AJ51" s="8"/>
    </row>
    <row r="52" spans="2:36" s="9" customFormat="1" ht="20.25" x14ac:dyDescent="0.3">
      <c r="B52" s="24">
        <v>32</v>
      </c>
      <c r="C52" s="113"/>
      <c r="D52" s="113"/>
      <c r="E52" s="113"/>
      <c r="F52" s="113"/>
      <c r="G52" s="113"/>
      <c r="H52" s="115"/>
      <c r="I52" s="116"/>
      <c r="J52" s="117"/>
      <c r="K52" s="115"/>
      <c r="L52" s="115"/>
      <c r="M52" s="113"/>
      <c r="N52" s="118"/>
      <c r="O52" s="119"/>
      <c r="P52" s="119"/>
      <c r="Q52" s="113" t="str">
        <f>IF($P52="","",VLOOKUP($P52,Лист1!$S$5:$T$32,2,FALSE))</f>
        <v/>
      </c>
      <c r="R52" s="119"/>
      <c r="S52" s="115"/>
      <c r="T52" s="115"/>
      <c r="U52" s="115"/>
      <c r="V52" s="115"/>
      <c r="W52" s="113"/>
      <c r="X52" s="113"/>
      <c r="Y52" s="113"/>
      <c r="Z52" s="113"/>
      <c r="AA52" s="120"/>
      <c r="AB52" s="115"/>
      <c r="AC52" s="116"/>
      <c r="AD52" s="121"/>
      <c r="AE52" s="121"/>
      <c r="AF52" s="114"/>
      <c r="AG52" s="114"/>
      <c r="AH52" s="122"/>
      <c r="AI52" s="107">
        <f t="shared" si="1"/>
        <v>0</v>
      </c>
      <c r="AJ52" s="8"/>
    </row>
    <row r="53" spans="2:36" s="9" customFormat="1" ht="20.25" x14ac:dyDescent="0.3">
      <c r="B53" s="24">
        <v>33</v>
      </c>
      <c r="C53" s="113"/>
      <c r="D53" s="113"/>
      <c r="E53" s="113"/>
      <c r="F53" s="113"/>
      <c r="G53" s="113"/>
      <c r="H53" s="115"/>
      <c r="I53" s="116"/>
      <c r="J53" s="117"/>
      <c r="K53" s="115"/>
      <c r="L53" s="115"/>
      <c r="M53" s="113"/>
      <c r="N53" s="118"/>
      <c r="O53" s="119"/>
      <c r="P53" s="119"/>
      <c r="Q53" s="113" t="str">
        <f>IF($P53="","",VLOOKUP($P53,Лист1!$S$5:$T$32,2,FALSE))</f>
        <v/>
      </c>
      <c r="R53" s="119"/>
      <c r="S53" s="115"/>
      <c r="T53" s="115"/>
      <c r="U53" s="115"/>
      <c r="V53" s="115"/>
      <c r="W53" s="113"/>
      <c r="X53" s="113"/>
      <c r="Y53" s="113"/>
      <c r="Z53" s="113"/>
      <c r="AA53" s="120"/>
      <c r="AB53" s="115"/>
      <c r="AC53" s="116"/>
      <c r="AD53" s="121"/>
      <c r="AE53" s="121"/>
      <c r="AF53" s="122"/>
      <c r="AG53" s="114"/>
      <c r="AH53" s="122"/>
      <c r="AI53" s="107">
        <f t="shared" si="1"/>
        <v>0</v>
      </c>
      <c r="AJ53" s="8"/>
    </row>
    <row r="54" spans="2:36" s="9" customFormat="1" ht="20.25" x14ac:dyDescent="0.3">
      <c r="B54" s="24">
        <v>34</v>
      </c>
      <c r="C54" s="113"/>
      <c r="D54" s="113"/>
      <c r="E54" s="113"/>
      <c r="F54" s="113"/>
      <c r="G54" s="113"/>
      <c r="H54" s="115"/>
      <c r="I54" s="116"/>
      <c r="J54" s="117"/>
      <c r="K54" s="115"/>
      <c r="L54" s="115"/>
      <c r="M54" s="113"/>
      <c r="N54" s="118"/>
      <c r="O54" s="119"/>
      <c r="P54" s="119"/>
      <c r="Q54" s="113" t="str">
        <f>IF($P54="","",VLOOKUP($P54,Лист1!$S$5:$T$32,2,FALSE))</f>
        <v/>
      </c>
      <c r="R54" s="119"/>
      <c r="S54" s="115"/>
      <c r="T54" s="115"/>
      <c r="U54" s="115"/>
      <c r="V54" s="115"/>
      <c r="W54" s="113"/>
      <c r="X54" s="113"/>
      <c r="Y54" s="113"/>
      <c r="Z54" s="113"/>
      <c r="AA54" s="120"/>
      <c r="AB54" s="115"/>
      <c r="AC54" s="116"/>
      <c r="AD54" s="121"/>
      <c r="AE54" s="121"/>
      <c r="AF54" s="114"/>
      <c r="AG54" s="114"/>
      <c r="AH54" s="122"/>
      <c r="AI54" s="107">
        <f t="shared" ref="AI54:AI63" si="2">C54*D54/1000000*E54</f>
        <v>0</v>
      </c>
      <c r="AJ54" s="8"/>
    </row>
    <row r="55" spans="2:36" s="9" customFormat="1" ht="20.25" x14ac:dyDescent="0.3">
      <c r="B55" s="24">
        <v>35</v>
      </c>
      <c r="C55" s="113"/>
      <c r="D55" s="113"/>
      <c r="E55" s="113"/>
      <c r="F55" s="113"/>
      <c r="G55" s="113"/>
      <c r="H55" s="115"/>
      <c r="I55" s="116"/>
      <c r="J55" s="117"/>
      <c r="K55" s="115"/>
      <c r="L55" s="115"/>
      <c r="M55" s="113"/>
      <c r="N55" s="118"/>
      <c r="O55" s="119"/>
      <c r="P55" s="119"/>
      <c r="Q55" s="113" t="str">
        <f>IF($P55="","",VLOOKUP($P55,Лист1!$S$5:$T$32,2,FALSE))</f>
        <v/>
      </c>
      <c r="R55" s="119"/>
      <c r="S55" s="115"/>
      <c r="T55" s="115"/>
      <c r="U55" s="115"/>
      <c r="V55" s="115"/>
      <c r="W55" s="113"/>
      <c r="X55" s="113"/>
      <c r="Y55" s="113"/>
      <c r="Z55" s="113"/>
      <c r="AA55" s="120"/>
      <c r="AB55" s="115"/>
      <c r="AC55" s="116"/>
      <c r="AD55" s="121"/>
      <c r="AE55" s="121"/>
      <c r="AF55" s="114"/>
      <c r="AG55" s="114"/>
      <c r="AH55" s="122"/>
      <c r="AI55" s="107">
        <f t="shared" si="2"/>
        <v>0</v>
      </c>
      <c r="AJ55" s="8"/>
    </row>
    <row r="56" spans="2:36" s="9" customFormat="1" ht="20.25" x14ac:dyDescent="0.3">
      <c r="B56" s="24">
        <v>36</v>
      </c>
      <c r="C56" s="113"/>
      <c r="D56" s="113"/>
      <c r="E56" s="113"/>
      <c r="F56" s="113"/>
      <c r="G56" s="113"/>
      <c r="H56" s="115"/>
      <c r="I56" s="116"/>
      <c r="J56" s="117"/>
      <c r="K56" s="115"/>
      <c r="L56" s="115"/>
      <c r="M56" s="113"/>
      <c r="N56" s="118"/>
      <c r="O56" s="119"/>
      <c r="P56" s="119"/>
      <c r="Q56" s="113" t="str">
        <f>IF($P56="","",VLOOKUP($P56,Лист1!$S$5:$T$32,2,FALSE))</f>
        <v/>
      </c>
      <c r="R56" s="119"/>
      <c r="S56" s="115"/>
      <c r="T56" s="115"/>
      <c r="U56" s="115"/>
      <c r="V56" s="115"/>
      <c r="W56" s="113"/>
      <c r="X56" s="113"/>
      <c r="Y56" s="113"/>
      <c r="Z56" s="113"/>
      <c r="AA56" s="120"/>
      <c r="AB56" s="115"/>
      <c r="AC56" s="116"/>
      <c r="AD56" s="121"/>
      <c r="AE56" s="121"/>
      <c r="AF56" s="114"/>
      <c r="AG56" s="114"/>
      <c r="AH56" s="122"/>
      <c r="AI56" s="107">
        <f t="shared" si="2"/>
        <v>0</v>
      </c>
      <c r="AJ56" s="8"/>
    </row>
    <row r="57" spans="2:36" s="9" customFormat="1" ht="20.25" x14ac:dyDescent="0.3">
      <c r="B57" s="24">
        <v>37</v>
      </c>
      <c r="C57" s="113"/>
      <c r="D57" s="113"/>
      <c r="E57" s="113"/>
      <c r="F57" s="113"/>
      <c r="G57" s="113"/>
      <c r="H57" s="115"/>
      <c r="I57" s="116"/>
      <c r="J57" s="117"/>
      <c r="K57" s="115"/>
      <c r="L57" s="115"/>
      <c r="M57" s="113"/>
      <c r="N57" s="118"/>
      <c r="O57" s="119"/>
      <c r="P57" s="119"/>
      <c r="Q57" s="113" t="str">
        <f>IF($P57="","",VLOOKUP($P57,Лист1!$S$5:$T$32,2,FALSE))</f>
        <v/>
      </c>
      <c r="R57" s="119"/>
      <c r="S57" s="115"/>
      <c r="T57" s="115"/>
      <c r="U57" s="115"/>
      <c r="V57" s="115"/>
      <c r="W57" s="113"/>
      <c r="X57" s="113"/>
      <c r="Y57" s="113"/>
      <c r="Z57" s="113"/>
      <c r="AA57" s="120"/>
      <c r="AB57" s="115"/>
      <c r="AC57" s="116"/>
      <c r="AD57" s="121"/>
      <c r="AE57" s="121"/>
      <c r="AF57" s="114"/>
      <c r="AG57" s="114"/>
      <c r="AH57" s="122"/>
      <c r="AI57" s="107">
        <f t="shared" si="2"/>
        <v>0</v>
      </c>
      <c r="AJ57" s="8"/>
    </row>
    <row r="58" spans="2:36" s="9" customFormat="1" ht="20.25" x14ac:dyDescent="0.3">
      <c r="B58" s="24">
        <v>38</v>
      </c>
      <c r="C58" s="113"/>
      <c r="D58" s="113"/>
      <c r="E58" s="113"/>
      <c r="F58" s="113"/>
      <c r="G58" s="113"/>
      <c r="H58" s="115"/>
      <c r="I58" s="116"/>
      <c r="J58" s="117"/>
      <c r="K58" s="115"/>
      <c r="L58" s="115"/>
      <c r="M58" s="113"/>
      <c r="N58" s="118"/>
      <c r="O58" s="119"/>
      <c r="P58" s="119"/>
      <c r="Q58" s="113" t="str">
        <f>IF($P58="","",VLOOKUP($P58,Лист1!$S$5:$T$32,2,FALSE))</f>
        <v/>
      </c>
      <c r="R58" s="119"/>
      <c r="S58" s="115"/>
      <c r="T58" s="115"/>
      <c r="U58" s="115"/>
      <c r="V58" s="115"/>
      <c r="W58" s="113"/>
      <c r="X58" s="113"/>
      <c r="Y58" s="113"/>
      <c r="Z58" s="113"/>
      <c r="AA58" s="120"/>
      <c r="AB58" s="115"/>
      <c r="AC58" s="116"/>
      <c r="AD58" s="121"/>
      <c r="AE58" s="121"/>
      <c r="AF58" s="114"/>
      <c r="AG58" s="114"/>
      <c r="AH58" s="122"/>
      <c r="AI58" s="107">
        <f t="shared" si="2"/>
        <v>0</v>
      </c>
      <c r="AJ58" s="8"/>
    </row>
    <row r="59" spans="2:36" s="9" customFormat="1" ht="20.25" x14ac:dyDescent="0.3">
      <c r="B59" s="24">
        <v>39</v>
      </c>
      <c r="C59" s="113"/>
      <c r="D59" s="113"/>
      <c r="E59" s="113"/>
      <c r="F59" s="113"/>
      <c r="G59" s="113"/>
      <c r="H59" s="115"/>
      <c r="I59" s="116"/>
      <c r="J59" s="117"/>
      <c r="K59" s="115"/>
      <c r="L59" s="115"/>
      <c r="M59" s="113"/>
      <c r="N59" s="118"/>
      <c r="O59" s="119"/>
      <c r="P59" s="119"/>
      <c r="Q59" s="113" t="str">
        <f>IF($P59="","",VLOOKUP($P59,Лист1!$S$5:$T$32,2,FALSE))</f>
        <v/>
      </c>
      <c r="R59" s="119"/>
      <c r="S59" s="115"/>
      <c r="T59" s="115"/>
      <c r="U59" s="115"/>
      <c r="V59" s="115"/>
      <c r="W59" s="113"/>
      <c r="X59" s="113"/>
      <c r="Y59" s="113"/>
      <c r="Z59" s="113"/>
      <c r="AA59" s="120"/>
      <c r="AB59" s="115"/>
      <c r="AC59" s="116"/>
      <c r="AD59" s="121"/>
      <c r="AE59" s="121"/>
      <c r="AF59" s="114"/>
      <c r="AG59" s="114"/>
      <c r="AH59" s="122"/>
      <c r="AI59" s="107">
        <f t="shared" si="2"/>
        <v>0</v>
      </c>
      <c r="AJ59" s="8"/>
    </row>
    <row r="60" spans="2:36" s="9" customFormat="1" ht="20.25" x14ac:dyDescent="0.3">
      <c r="B60" s="24">
        <v>40</v>
      </c>
      <c r="C60" s="113"/>
      <c r="D60" s="113"/>
      <c r="E60" s="113"/>
      <c r="F60" s="113"/>
      <c r="G60" s="113"/>
      <c r="H60" s="115"/>
      <c r="I60" s="116"/>
      <c r="J60" s="117"/>
      <c r="K60" s="115"/>
      <c r="L60" s="115"/>
      <c r="M60" s="113"/>
      <c r="N60" s="118"/>
      <c r="O60" s="119"/>
      <c r="P60" s="119"/>
      <c r="Q60" s="113" t="str">
        <f>IF($P60="","",VLOOKUP($P60,Лист1!$S$5:$T$32,2,FALSE))</f>
        <v/>
      </c>
      <c r="R60" s="119"/>
      <c r="S60" s="115"/>
      <c r="T60" s="115"/>
      <c r="U60" s="115"/>
      <c r="V60" s="115"/>
      <c r="W60" s="113"/>
      <c r="X60" s="113"/>
      <c r="Y60" s="113"/>
      <c r="Z60" s="113"/>
      <c r="AA60" s="120"/>
      <c r="AB60" s="115"/>
      <c r="AC60" s="116"/>
      <c r="AD60" s="121"/>
      <c r="AE60" s="121"/>
      <c r="AF60" s="114"/>
      <c r="AG60" s="114"/>
      <c r="AH60" s="122"/>
      <c r="AI60" s="107">
        <f t="shared" si="2"/>
        <v>0</v>
      </c>
      <c r="AJ60" s="8"/>
    </row>
    <row r="61" spans="2:36" s="9" customFormat="1" ht="20.25" x14ac:dyDescent="0.3">
      <c r="B61" s="24">
        <v>41</v>
      </c>
      <c r="C61" s="113"/>
      <c r="D61" s="113"/>
      <c r="E61" s="113"/>
      <c r="F61" s="113"/>
      <c r="G61" s="113"/>
      <c r="H61" s="115"/>
      <c r="I61" s="116"/>
      <c r="J61" s="117"/>
      <c r="K61" s="115"/>
      <c r="L61" s="115"/>
      <c r="M61" s="113"/>
      <c r="N61" s="118"/>
      <c r="O61" s="119"/>
      <c r="P61" s="119"/>
      <c r="Q61" s="113" t="str">
        <f>IF($P61="","",VLOOKUP($P61,Лист1!$S$5:$T$32,2,FALSE))</f>
        <v/>
      </c>
      <c r="R61" s="119"/>
      <c r="S61" s="115"/>
      <c r="T61" s="115"/>
      <c r="U61" s="115"/>
      <c r="V61" s="115"/>
      <c r="W61" s="113"/>
      <c r="X61" s="113"/>
      <c r="Y61" s="113"/>
      <c r="Z61" s="113"/>
      <c r="AA61" s="120"/>
      <c r="AB61" s="115"/>
      <c r="AC61" s="116"/>
      <c r="AD61" s="121"/>
      <c r="AE61" s="121"/>
      <c r="AF61" s="114"/>
      <c r="AG61" s="114"/>
      <c r="AH61" s="122"/>
      <c r="AI61" s="107">
        <f t="shared" si="2"/>
        <v>0</v>
      </c>
      <c r="AJ61" s="8"/>
    </row>
    <row r="62" spans="2:36" s="9" customFormat="1" ht="20.25" x14ac:dyDescent="0.3">
      <c r="B62" s="24">
        <v>42</v>
      </c>
      <c r="C62" s="113"/>
      <c r="D62" s="113"/>
      <c r="E62" s="113"/>
      <c r="F62" s="113"/>
      <c r="G62" s="113"/>
      <c r="H62" s="115"/>
      <c r="I62" s="116"/>
      <c r="J62" s="117"/>
      <c r="K62" s="115"/>
      <c r="L62" s="115"/>
      <c r="M62" s="113"/>
      <c r="N62" s="118"/>
      <c r="O62" s="119"/>
      <c r="P62" s="119"/>
      <c r="Q62" s="113" t="str">
        <f>IF($P62="","",VLOOKUP($P62,Лист1!$S$5:$T$32,2,FALSE))</f>
        <v/>
      </c>
      <c r="R62" s="119"/>
      <c r="S62" s="115"/>
      <c r="T62" s="115"/>
      <c r="U62" s="115"/>
      <c r="V62" s="115"/>
      <c r="W62" s="113"/>
      <c r="X62" s="113"/>
      <c r="Y62" s="113"/>
      <c r="Z62" s="113"/>
      <c r="AA62" s="120"/>
      <c r="AB62" s="115"/>
      <c r="AC62" s="116"/>
      <c r="AD62" s="121"/>
      <c r="AE62" s="121"/>
      <c r="AF62" s="114"/>
      <c r="AG62" s="114"/>
      <c r="AH62" s="122"/>
      <c r="AI62" s="107">
        <f t="shared" si="2"/>
        <v>0</v>
      </c>
      <c r="AJ62" s="8"/>
    </row>
    <row r="63" spans="2:36" s="9" customFormat="1" ht="20.25" x14ac:dyDescent="0.3">
      <c r="B63" s="24">
        <v>43</v>
      </c>
      <c r="C63" s="113"/>
      <c r="D63" s="113"/>
      <c r="E63" s="113"/>
      <c r="F63" s="113"/>
      <c r="G63" s="113"/>
      <c r="H63" s="115"/>
      <c r="I63" s="116"/>
      <c r="J63" s="117"/>
      <c r="K63" s="115"/>
      <c r="L63" s="115"/>
      <c r="M63" s="113"/>
      <c r="N63" s="118"/>
      <c r="O63" s="119"/>
      <c r="P63" s="119"/>
      <c r="Q63" s="113" t="str">
        <f>IF($P63="","",VLOOKUP($P63,Лист1!$S$5:$T$32,2,FALSE))</f>
        <v/>
      </c>
      <c r="R63" s="119"/>
      <c r="S63" s="115"/>
      <c r="T63" s="115"/>
      <c r="U63" s="115"/>
      <c r="V63" s="115"/>
      <c r="W63" s="113"/>
      <c r="X63" s="113"/>
      <c r="Y63" s="113"/>
      <c r="Z63" s="113"/>
      <c r="AA63" s="120"/>
      <c r="AB63" s="115"/>
      <c r="AC63" s="116"/>
      <c r="AD63" s="121"/>
      <c r="AE63" s="121"/>
      <c r="AF63" s="114"/>
      <c r="AG63" s="114"/>
      <c r="AH63" s="122"/>
      <c r="AI63" s="107">
        <f t="shared" si="2"/>
        <v>0</v>
      </c>
      <c r="AJ63" s="8"/>
    </row>
    <row r="64" spans="2:36" s="9" customFormat="1" ht="20.25" x14ac:dyDescent="0.3">
      <c r="B64" s="24">
        <v>44</v>
      </c>
      <c r="C64" s="113"/>
      <c r="D64" s="113"/>
      <c r="E64" s="113"/>
      <c r="F64" s="113"/>
      <c r="G64" s="113"/>
      <c r="H64" s="115"/>
      <c r="I64" s="116"/>
      <c r="J64" s="117"/>
      <c r="K64" s="115"/>
      <c r="L64" s="115"/>
      <c r="M64" s="113"/>
      <c r="N64" s="118"/>
      <c r="O64" s="119"/>
      <c r="P64" s="119"/>
      <c r="Q64" s="113" t="str">
        <f>IF($P64="","",VLOOKUP($P64,Лист1!$S$5:$T$32,2,FALSE))</f>
        <v/>
      </c>
      <c r="R64" s="119"/>
      <c r="S64" s="115"/>
      <c r="T64" s="115"/>
      <c r="U64" s="115"/>
      <c r="V64" s="115"/>
      <c r="W64" s="113"/>
      <c r="X64" s="113"/>
      <c r="Y64" s="113"/>
      <c r="Z64" s="113"/>
      <c r="AA64" s="120"/>
      <c r="AB64" s="115"/>
      <c r="AC64" s="116"/>
      <c r="AD64" s="121"/>
      <c r="AE64" s="121"/>
      <c r="AF64" s="114"/>
      <c r="AG64" s="114"/>
      <c r="AH64" s="122"/>
      <c r="AI64" s="107">
        <f t="shared" si="1"/>
        <v>0</v>
      </c>
      <c r="AJ64" s="8"/>
    </row>
    <row r="65" spans="2:36" s="9" customFormat="1" ht="20.25" x14ac:dyDescent="0.3">
      <c r="B65" s="24">
        <v>45</v>
      </c>
      <c r="C65" s="113"/>
      <c r="D65" s="113"/>
      <c r="E65" s="113"/>
      <c r="F65" s="113"/>
      <c r="G65" s="113"/>
      <c r="H65" s="115"/>
      <c r="I65" s="116"/>
      <c r="J65" s="117"/>
      <c r="K65" s="115"/>
      <c r="L65" s="115"/>
      <c r="M65" s="113"/>
      <c r="N65" s="118"/>
      <c r="O65" s="119"/>
      <c r="P65" s="119"/>
      <c r="Q65" s="113" t="str">
        <f>IF($P65="","",VLOOKUP($P65,Лист1!$S$5:$T$32,2,FALSE))</f>
        <v/>
      </c>
      <c r="R65" s="119"/>
      <c r="S65" s="115"/>
      <c r="T65" s="115"/>
      <c r="U65" s="115"/>
      <c r="V65" s="115"/>
      <c r="W65" s="113"/>
      <c r="X65" s="113"/>
      <c r="Y65" s="113"/>
      <c r="Z65" s="113"/>
      <c r="AA65" s="120"/>
      <c r="AB65" s="115"/>
      <c r="AC65" s="116"/>
      <c r="AD65" s="121"/>
      <c r="AE65" s="121"/>
      <c r="AF65" s="114"/>
      <c r="AG65" s="114"/>
      <c r="AH65" s="122"/>
      <c r="AI65" s="107">
        <f t="shared" si="1"/>
        <v>0</v>
      </c>
      <c r="AJ65" s="8"/>
    </row>
    <row r="66" spans="2:36" ht="15.75" x14ac:dyDescent="0.25">
      <c r="B66" s="25" t="s">
        <v>8</v>
      </c>
      <c r="C66" s="7">
        <f>SUMPRODUCT(C21:C65)</f>
        <v>0</v>
      </c>
      <c r="D66" s="7">
        <f>SUMPRODUCT(D21:D65)</f>
        <v>0</v>
      </c>
      <c r="E66" s="7">
        <f>SUM(E21:E65)</f>
        <v>0</v>
      </c>
      <c r="F66" s="7"/>
      <c r="G66" s="7"/>
      <c r="H66" s="7"/>
      <c r="I66" s="26">
        <f>SUMIF($I$21:$I$65,"**",$E$21:$E$65)</f>
        <v>0</v>
      </c>
      <c r="J66" s="34">
        <f>SUMPRODUCT($E$21:$E$65,$J$21:$J$65)/1000</f>
        <v>0</v>
      </c>
      <c r="K66" s="26">
        <f>SUMIF($K$21:$K$65,"**",$E$21:$E$65)</f>
        <v>0</v>
      </c>
      <c r="L66" s="26"/>
      <c r="M66" s="26"/>
      <c r="N66" s="26"/>
      <c r="O66" s="26"/>
      <c r="P66" s="26"/>
      <c r="Q66" s="26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>
        <f>SUMPRODUCT($E$21:$E$65,$AD$21:$AD$65)</f>
        <v>0</v>
      </c>
      <c r="AE66" s="7"/>
      <c r="AF66" s="7"/>
      <c r="AG66" s="7"/>
      <c r="AH66" s="26"/>
      <c r="AI66" s="108">
        <f>SUM(AI21:AI65)</f>
        <v>0</v>
      </c>
    </row>
    <row r="67" spans="2:36" s="9" customFormat="1" ht="20.25" x14ac:dyDescent="0.3">
      <c r="B67" s="27"/>
      <c r="C67" s="26"/>
      <c r="D67" s="26"/>
      <c r="E67" s="26"/>
      <c r="F67" s="26"/>
      <c r="G67" s="26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4"/>
      <c r="AD67" s="4"/>
      <c r="AE67" s="4"/>
      <c r="AF67" s="4"/>
      <c r="AG67" s="4"/>
      <c r="AH67" s="26"/>
      <c r="AI67" s="128">
        <f>AI66</f>
        <v>0</v>
      </c>
    </row>
    <row r="68" spans="2:36" s="9" customFormat="1" ht="20.25" x14ac:dyDescent="0.3">
      <c r="B68" s="4"/>
      <c r="C68" s="26"/>
      <c r="D68" s="4"/>
      <c r="E68" s="28"/>
      <c r="F68" s="28"/>
      <c r="G68" s="28"/>
      <c r="H68" s="28"/>
      <c r="I68" s="17" t="s">
        <v>105</v>
      </c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6"/>
      <c r="AD68" s="26"/>
      <c r="AE68" s="26"/>
      <c r="AF68" s="26"/>
      <c r="AG68" s="26"/>
      <c r="AH68" s="26"/>
      <c r="AI68" s="109">
        <f>(C66+D66)*2/1000</f>
        <v>0</v>
      </c>
    </row>
    <row r="69" spans="2:36" s="9" customFormat="1" ht="20.25" x14ac:dyDescent="0.3">
      <c r="B69" s="17" t="s">
        <v>106</v>
      </c>
      <c r="C69" s="26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6"/>
      <c r="AD69" s="26"/>
      <c r="AE69" s="26"/>
      <c r="AF69" s="26"/>
      <c r="AG69" s="26"/>
      <c r="AH69" s="26"/>
      <c r="AI69" s="30"/>
    </row>
    <row r="70" spans="2:36" s="4" customFormat="1" ht="15.75" x14ac:dyDescent="0.25">
      <c r="B70" s="340" t="s">
        <v>104</v>
      </c>
      <c r="C70" s="340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  <c r="V70" s="340"/>
      <c r="W70" s="340"/>
      <c r="X70" s="340"/>
      <c r="Y70" s="340"/>
      <c r="Z70" s="340"/>
      <c r="AA70" s="340"/>
      <c r="AB70" s="340"/>
      <c r="AC70" s="340"/>
      <c r="AD70" s="340"/>
      <c r="AE70" s="340"/>
      <c r="AF70" s="340"/>
      <c r="AG70" s="340"/>
      <c r="AH70" s="340"/>
      <c r="AI70" s="340"/>
    </row>
    <row r="71" spans="2:36" ht="66" customHeight="1" x14ac:dyDescent="0.2">
      <c r="B71" s="45" t="s">
        <v>3</v>
      </c>
      <c r="C71" s="45" t="s">
        <v>49</v>
      </c>
      <c r="D71" s="45" t="s">
        <v>51</v>
      </c>
      <c r="E71" s="45" t="s">
        <v>50</v>
      </c>
      <c r="F71" s="45" t="s">
        <v>52</v>
      </c>
      <c r="G71" s="45" t="s">
        <v>166</v>
      </c>
      <c r="H71" s="45" t="s">
        <v>58</v>
      </c>
      <c r="I71" s="46" t="s">
        <v>179</v>
      </c>
      <c r="J71" s="338" t="s">
        <v>53</v>
      </c>
      <c r="K71" s="339"/>
      <c r="L71" s="338" t="s">
        <v>171</v>
      </c>
      <c r="M71" s="339"/>
      <c r="N71" s="47" t="s">
        <v>180</v>
      </c>
      <c r="O71" s="47" t="s">
        <v>168</v>
      </c>
      <c r="P71" s="45" t="s">
        <v>172</v>
      </c>
      <c r="Q71" s="45" t="s">
        <v>173</v>
      </c>
      <c r="R71" s="337" t="s">
        <v>54</v>
      </c>
      <c r="S71" s="337"/>
      <c r="T71" s="45" t="s">
        <v>55</v>
      </c>
      <c r="U71" s="101" t="s">
        <v>176</v>
      </c>
      <c r="V71" s="101" t="s">
        <v>181</v>
      </c>
      <c r="W71" s="45" t="s">
        <v>167</v>
      </c>
      <c r="X71" s="45" t="s">
        <v>183</v>
      </c>
      <c r="Y71" s="45" t="s">
        <v>174</v>
      </c>
      <c r="Z71" s="45" t="s">
        <v>182</v>
      </c>
      <c r="AA71" s="45" t="s">
        <v>175</v>
      </c>
      <c r="AB71" s="45" t="s">
        <v>59</v>
      </c>
      <c r="AC71" s="46" t="s">
        <v>56</v>
      </c>
      <c r="AD71" s="46" t="s">
        <v>177</v>
      </c>
      <c r="AE71" s="46" t="s">
        <v>178</v>
      </c>
      <c r="AF71" s="338" t="s">
        <v>115</v>
      </c>
      <c r="AG71" s="339"/>
      <c r="AH71" s="45" t="s">
        <v>48</v>
      </c>
      <c r="AI71" s="47" t="s">
        <v>57</v>
      </c>
    </row>
    <row r="72" spans="2:36" s="9" customFormat="1" ht="20.25" x14ac:dyDescent="0.3">
      <c r="B72" s="305">
        <v>1</v>
      </c>
      <c r="C72" s="312"/>
      <c r="D72" s="312"/>
      <c r="E72" s="311"/>
      <c r="F72" s="113"/>
      <c r="G72" s="113"/>
      <c r="H72" s="115"/>
      <c r="I72" s="116"/>
      <c r="J72" s="117"/>
      <c r="K72" s="115"/>
      <c r="L72" s="115"/>
      <c r="M72" s="306"/>
      <c r="N72" s="306"/>
      <c r="O72" s="307"/>
      <c r="P72" s="119"/>
      <c r="Q72" s="113"/>
      <c r="R72" s="119"/>
      <c r="S72" s="115"/>
      <c r="T72" s="115"/>
      <c r="U72" s="115"/>
      <c r="V72" s="115"/>
      <c r="W72" s="113"/>
      <c r="X72" s="113"/>
      <c r="Y72" s="113"/>
      <c r="Z72" s="113"/>
      <c r="AA72" s="120"/>
      <c r="AB72" s="307"/>
      <c r="AC72" s="307"/>
      <c r="AD72" s="121"/>
      <c r="AE72" s="121"/>
      <c r="AF72" s="122"/>
      <c r="AG72" s="307"/>
      <c r="AH72" s="114"/>
      <c r="AI72" s="110">
        <f>C72*D72/1000000*E72*3.14/2</f>
        <v>0</v>
      </c>
    </row>
    <row r="73" spans="2:36" s="9" customFormat="1" ht="21" customHeight="1" x14ac:dyDescent="0.3">
      <c r="B73" s="24">
        <v>2</v>
      </c>
      <c r="C73" s="312"/>
      <c r="D73" s="312"/>
      <c r="E73" s="311"/>
      <c r="F73" s="113"/>
      <c r="G73" s="113"/>
      <c r="H73" s="313"/>
      <c r="I73" s="116"/>
      <c r="J73" s="117"/>
      <c r="K73" s="115"/>
      <c r="L73" s="115"/>
      <c r="M73" s="306"/>
      <c r="N73" s="306"/>
      <c r="O73" s="308"/>
      <c r="P73" s="119"/>
      <c r="Q73" s="113"/>
      <c r="R73" s="307"/>
      <c r="S73" s="307"/>
      <c r="T73" s="307"/>
      <c r="U73" s="307"/>
      <c r="V73" s="307"/>
      <c r="W73" s="307"/>
      <c r="X73" s="113"/>
      <c r="Y73" s="113"/>
      <c r="Z73" s="113"/>
      <c r="AA73" s="120"/>
      <c r="AB73" s="307"/>
      <c r="AC73" s="307"/>
      <c r="AD73" s="309"/>
      <c r="AE73" s="121"/>
      <c r="AF73" s="314"/>
      <c r="AG73" s="314"/>
      <c r="AH73" s="114"/>
      <c r="AI73" s="110">
        <f>C73*D73/1000000*E73*3.14/2</f>
        <v>0</v>
      </c>
    </row>
    <row r="74" spans="2:36" s="9" customFormat="1" ht="21" customHeight="1" x14ac:dyDescent="0.3">
      <c r="B74" s="31">
        <v>3</v>
      </c>
      <c r="C74" s="310"/>
      <c r="D74" s="315"/>
      <c r="E74" s="316"/>
      <c r="F74" s="113"/>
      <c r="G74" s="113"/>
      <c r="H74" s="314"/>
      <c r="I74" s="116"/>
      <c r="J74" s="117"/>
      <c r="K74" s="115"/>
      <c r="L74" s="115"/>
      <c r="M74" s="306"/>
      <c r="N74" s="306"/>
      <c r="O74" s="308"/>
      <c r="P74" s="119"/>
      <c r="Q74" s="113"/>
      <c r="R74" s="307"/>
      <c r="S74" s="307"/>
      <c r="T74" s="307"/>
      <c r="U74" s="307"/>
      <c r="V74" s="307"/>
      <c r="W74" s="307"/>
      <c r="X74" s="113"/>
      <c r="Y74" s="113"/>
      <c r="Z74" s="113"/>
      <c r="AA74" s="120"/>
      <c r="AB74" s="314"/>
      <c r="AC74" s="307"/>
      <c r="AD74" s="309"/>
      <c r="AE74" s="121"/>
      <c r="AF74" s="314"/>
      <c r="AG74" s="314"/>
      <c r="AH74" s="114"/>
      <c r="AI74" s="110">
        <f>C74*D74/1000000*E74*3.14/2</f>
        <v>0</v>
      </c>
    </row>
    <row r="75" spans="2:36" s="9" customFormat="1" ht="20.25" x14ac:dyDescent="0.3">
      <c r="B75" s="24">
        <v>4</v>
      </c>
      <c r="C75" s="312"/>
      <c r="D75" s="312"/>
      <c r="E75" s="311"/>
      <c r="F75" s="113"/>
      <c r="G75" s="113"/>
      <c r="H75" s="115"/>
      <c r="I75" s="116"/>
      <c r="J75" s="117"/>
      <c r="K75" s="115"/>
      <c r="L75" s="115"/>
      <c r="M75" s="306"/>
      <c r="N75" s="306"/>
      <c r="O75" s="307"/>
      <c r="P75" s="119"/>
      <c r="Q75" s="113"/>
      <c r="R75" s="307"/>
      <c r="S75" s="307"/>
      <c r="T75" s="307"/>
      <c r="U75" s="307"/>
      <c r="V75" s="307"/>
      <c r="W75" s="306"/>
      <c r="X75" s="113"/>
      <c r="Y75" s="113"/>
      <c r="Z75" s="113"/>
      <c r="AA75" s="120"/>
      <c r="AB75" s="314"/>
      <c r="AC75" s="307"/>
      <c r="AD75" s="121"/>
      <c r="AE75" s="121"/>
      <c r="AF75" s="114"/>
      <c r="AG75" s="314"/>
      <c r="AH75" s="114"/>
      <c r="AI75" s="110">
        <f>C75*D75/1000000*E75*3.14/2</f>
        <v>0</v>
      </c>
    </row>
    <row r="76" spans="2:36" s="9" customFormat="1" ht="21" customHeight="1" x14ac:dyDescent="0.3">
      <c r="B76" s="31">
        <v>5</v>
      </c>
      <c r="C76" s="310"/>
      <c r="D76" s="315"/>
      <c r="E76" s="316"/>
      <c r="F76" s="113"/>
      <c r="G76" s="113"/>
      <c r="H76" s="314"/>
      <c r="I76" s="116"/>
      <c r="J76" s="117"/>
      <c r="K76" s="115"/>
      <c r="L76" s="115"/>
      <c r="M76" s="306"/>
      <c r="N76" s="306"/>
      <c r="O76" s="308"/>
      <c r="P76" s="119"/>
      <c r="Q76" s="113" t="str">
        <f>IF($P76="","",VLOOKUP($P76,Лист1!$S$5:$T$32,2,FALSE))</f>
        <v/>
      </c>
      <c r="R76" s="307"/>
      <c r="S76" s="307"/>
      <c r="T76" s="307"/>
      <c r="U76" s="307"/>
      <c r="V76" s="307"/>
      <c r="W76" s="307"/>
      <c r="X76" s="113"/>
      <c r="Y76" s="113"/>
      <c r="Z76" s="113"/>
      <c r="AA76" s="120"/>
      <c r="AB76" s="314"/>
      <c r="AC76" s="307"/>
      <c r="AD76" s="309"/>
      <c r="AE76" s="121"/>
      <c r="AF76" s="314"/>
      <c r="AG76" s="314"/>
      <c r="AH76" s="114"/>
      <c r="AI76" s="110">
        <f>C76*D76/1000000*E76*3.14/2</f>
        <v>0</v>
      </c>
    </row>
    <row r="77" spans="2:36" ht="15.75" x14ac:dyDescent="0.25">
      <c r="B77" s="26" t="s">
        <v>8</v>
      </c>
      <c r="C77" s="6"/>
      <c r="D77" s="26"/>
      <c r="E77" s="26">
        <f>SUM(E72:E76)</f>
        <v>0</v>
      </c>
      <c r="F77" s="26"/>
      <c r="G77" s="26"/>
      <c r="H77" s="26"/>
      <c r="I77" s="26">
        <f>SUM(I72:I76)</f>
        <v>0</v>
      </c>
      <c r="J77" s="26">
        <f>SUMPRODUCT($E$72:$E$76,$J$72:$J$76)/1000</f>
        <v>0</v>
      </c>
      <c r="K77" s="26">
        <f>SUMIF($K$72:$K$76,"**",$E$72:$E$76)</f>
        <v>0</v>
      </c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32"/>
      <c r="AD77" s="7">
        <f>SUMPRODUCT($E$72:$E$76,$AD$72:$AD$76)</f>
        <v>0</v>
      </c>
      <c r="AE77" s="32"/>
      <c r="AF77" s="32"/>
      <c r="AG77" s="32"/>
      <c r="AH77" s="32"/>
      <c r="AI77" s="108">
        <f>SUM(AI72:AI76)</f>
        <v>0</v>
      </c>
    </row>
    <row r="78" spans="2:36" s="9" customFormat="1" ht="20.25" x14ac:dyDescent="0.3">
      <c r="B78" s="341" t="s">
        <v>15</v>
      </c>
      <c r="C78" s="342"/>
      <c r="D78" s="343"/>
      <c r="E78" s="33">
        <f>SUM(E66)+(E77)</f>
        <v>0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128">
        <f>AI77</f>
        <v>0</v>
      </c>
    </row>
    <row r="79" spans="2:36" ht="16.5" thickBot="1" x14ac:dyDescent="0.3">
      <c r="B79" s="6"/>
      <c r="C79" s="6"/>
      <c r="D79" s="6"/>
      <c r="E79" s="7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29"/>
    </row>
    <row r="80" spans="2:36" ht="20.25" customHeight="1" x14ac:dyDescent="0.25">
      <c r="B80" s="348"/>
      <c r="C80" s="349"/>
      <c r="D80" s="349"/>
      <c r="E80" s="349"/>
      <c r="F80" s="349"/>
      <c r="G80" s="349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349"/>
      <c r="T80" s="349"/>
      <c r="U80" s="349"/>
      <c r="V80" s="349"/>
      <c r="W80" s="349"/>
      <c r="X80" s="349"/>
      <c r="Y80" s="349"/>
      <c r="Z80" s="349"/>
      <c r="AA80" s="349"/>
      <c r="AB80" s="349"/>
      <c r="AC80" s="349"/>
      <c r="AD80" s="349"/>
      <c r="AE80" s="349"/>
      <c r="AF80" s="349"/>
      <c r="AG80" s="349"/>
      <c r="AH80" s="350"/>
      <c r="AI80" s="34"/>
    </row>
    <row r="81" spans="2:35" ht="20.25" customHeight="1" thickBot="1" x14ac:dyDescent="0.25">
      <c r="B81" s="351"/>
      <c r="C81" s="352"/>
      <c r="D81" s="352"/>
      <c r="E81" s="352"/>
      <c r="F81" s="352"/>
      <c r="G81" s="352"/>
      <c r="H81" s="352"/>
      <c r="I81" s="352"/>
      <c r="J81" s="352"/>
      <c r="K81" s="352"/>
      <c r="L81" s="352"/>
      <c r="M81" s="352"/>
      <c r="N81" s="352"/>
      <c r="O81" s="352"/>
      <c r="P81" s="352"/>
      <c r="Q81" s="352"/>
      <c r="R81" s="352"/>
      <c r="S81" s="352"/>
      <c r="T81" s="352"/>
      <c r="U81" s="352"/>
      <c r="V81" s="352"/>
      <c r="W81" s="352"/>
      <c r="X81" s="352"/>
      <c r="Y81" s="352"/>
      <c r="Z81" s="352"/>
      <c r="AA81" s="352"/>
      <c r="AB81" s="352"/>
      <c r="AC81" s="352"/>
      <c r="AD81" s="352"/>
      <c r="AE81" s="352"/>
      <c r="AF81" s="352"/>
      <c r="AG81" s="352"/>
      <c r="AH81" s="353"/>
      <c r="AI81" s="30"/>
    </row>
    <row r="82" spans="2:35" ht="15.75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2:35" ht="20.25" x14ac:dyDescent="0.3">
      <c r="B83" s="317" t="s">
        <v>372</v>
      </c>
      <c r="C83" s="70"/>
      <c r="D83" s="344">
        <v>0</v>
      </c>
      <c r="E83" s="344"/>
      <c r="F83" s="344"/>
      <c r="G83" s="301"/>
      <c r="H83" s="301"/>
      <c r="I83" s="301"/>
      <c r="J83" s="301"/>
      <c r="K83" s="301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34"/>
      <c r="Z83" s="6"/>
      <c r="AA83" s="6"/>
      <c r="AB83" s="26"/>
      <c r="AC83" s="6"/>
      <c r="AD83" s="6"/>
      <c r="AE83" s="6"/>
      <c r="AF83" s="6"/>
      <c r="AG83" s="6"/>
      <c r="AH83" s="6"/>
      <c r="AI83" s="6"/>
    </row>
    <row r="84" spans="2:35" ht="20.25" x14ac:dyDescent="0.3">
      <c r="B84" s="317" t="s">
        <v>373</v>
      </c>
      <c r="C84" s="70"/>
      <c r="D84" s="345">
        <v>0</v>
      </c>
      <c r="E84" s="346"/>
      <c r="F84" s="347"/>
      <c r="G84" s="302"/>
      <c r="H84" s="302"/>
      <c r="I84" s="302"/>
      <c r="J84" s="302"/>
      <c r="K84" s="302"/>
      <c r="L84" s="35"/>
      <c r="M84" s="35"/>
      <c r="N84" s="35"/>
      <c r="O84" s="35"/>
      <c r="P84" s="35"/>
      <c r="Q84" s="35"/>
      <c r="R84" s="35"/>
      <c r="S84" s="36"/>
      <c r="T84" s="36"/>
      <c r="U84" s="36"/>
      <c r="V84" s="36"/>
      <c r="W84" s="36"/>
      <c r="X84" s="36"/>
      <c r="Y84" s="30"/>
      <c r="Z84" s="39"/>
      <c r="AA84" s="39"/>
      <c r="AB84" s="297"/>
      <c r="AC84" s="39"/>
      <c r="AD84" s="39"/>
      <c r="AE84" s="39"/>
      <c r="AF84" s="39"/>
      <c r="AG84" s="39"/>
      <c r="AH84" s="39"/>
      <c r="AI84" s="298"/>
    </row>
    <row r="85" spans="2:35" ht="18" hidden="1" x14ac:dyDescent="0.25">
      <c r="B85" s="303" t="s">
        <v>13</v>
      </c>
      <c r="C85" s="301"/>
      <c r="D85" s="303"/>
      <c r="E85" s="303"/>
      <c r="F85" s="303"/>
      <c r="G85" s="303"/>
      <c r="H85" s="303"/>
      <c r="I85" s="303"/>
      <c r="J85" s="303"/>
      <c r="K85" s="303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0"/>
      <c r="AA85" s="40"/>
      <c r="AB85" s="297"/>
      <c r="AC85" s="40"/>
      <c r="AD85" s="40"/>
      <c r="AE85" s="40"/>
      <c r="AF85" s="40"/>
      <c r="AG85" s="40"/>
      <c r="AH85" s="40"/>
      <c r="AI85" s="129"/>
    </row>
    <row r="86" spans="2:35" ht="15.75" hidden="1" x14ac:dyDescent="0.25">
      <c r="B86" s="303" t="s">
        <v>14</v>
      </c>
      <c r="C86" s="301"/>
      <c r="D86" s="301"/>
      <c r="E86" s="301"/>
      <c r="F86" s="301"/>
      <c r="G86" s="301"/>
      <c r="H86" s="301"/>
      <c r="I86" s="301"/>
      <c r="J86" s="301"/>
      <c r="K86" s="301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6"/>
      <c r="AA86" s="6"/>
      <c r="AB86" s="297"/>
      <c r="AC86" s="6"/>
      <c r="AD86" s="6"/>
      <c r="AE86" s="6"/>
      <c r="AF86" s="6"/>
      <c r="AG86" s="6"/>
      <c r="AH86" s="6"/>
      <c r="AI86" s="299"/>
    </row>
    <row r="87" spans="2:35" ht="15.75" hidden="1" x14ac:dyDescent="0.25">
      <c r="B87" s="70"/>
      <c r="C87" s="70"/>
      <c r="D87" s="70"/>
      <c r="E87" s="70"/>
      <c r="F87" s="70"/>
      <c r="G87" s="70"/>
      <c r="H87" s="70"/>
      <c r="I87" s="37"/>
      <c r="J87" s="38"/>
      <c r="K87" s="70"/>
      <c r="L87" s="70"/>
      <c r="M87" s="43"/>
      <c r="N87" s="70"/>
      <c r="O87" s="70"/>
      <c r="P87" s="43"/>
      <c r="Q87" s="43"/>
      <c r="R87" s="37"/>
      <c r="S87" s="37"/>
      <c r="T87" s="26"/>
      <c r="U87" s="26"/>
      <c r="V87" s="26"/>
      <c r="W87" s="26"/>
      <c r="X87" s="10"/>
      <c r="Y87" s="10"/>
      <c r="Z87" s="10"/>
      <c r="AA87" s="10"/>
      <c r="AB87" s="297"/>
      <c r="AC87" s="10"/>
      <c r="AD87" s="10"/>
      <c r="AE87" s="10"/>
      <c r="AF87" s="10"/>
      <c r="AG87" s="10"/>
      <c r="AH87" s="10"/>
      <c r="AI87" s="112"/>
    </row>
    <row r="88" spans="2:35" ht="20.25" hidden="1" x14ac:dyDescent="0.3">
      <c r="B88" s="42"/>
      <c r="C88" s="70"/>
      <c r="D88" s="70"/>
      <c r="E88" s="70"/>
      <c r="F88" s="70"/>
      <c r="G88" s="70"/>
      <c r="H88" s="70"/>
      <c r="I88" s="37"/>
      <c r="J88" s="38"/>
      <c r="K88" s="70"/>
      <c r="L88" s="70"/>
      <c r="M88" s="43"/>
      <c r="N88" s="70"/>
      <c r="O88" s="70"/>
      <c r="P88" s="43"/>
      <c r="Q88" s="43"/>
      <c r="R88" s="37"/>
      <c r="S88" s="37"/>
      <c r="T88" s="26"/>
      <c r="U88" s="26"/>
      <c r="V88" s="26"/>
      <c r="W88" s="26"/>
      <c r="X88" s="10"/>
      <c r="Y88" s="10"/>
      <c r="Z88" s="10"/>
      <c r="AA88" s="10"/>
      <c r="AB88" s="297"/>
      <c r="AC88" s="10"/>
      <c r="AD88" s="10"/>
      <c r="AE88" s="10"/>
      <c r="AF88" s="10"/>
      <c r="AG88" s="10"/>
      <c r="AH88" s="10"/>
      <c r="AI88" s="300"/>
    </row>
    <row r="89" spans="2:35" ht="15.75" hidden="1" x14ac:dyDescent="0.25">
      <c r="B89" s="70"/>
      <c r="C89" s="70"/>
      <c r="D89" s="70"/>
      <c r="E89" s="70"/>
      <c r="F89" s="70"/>
      <c r="G89" s="70"/>
      <c r="H89" s="70"/>
      <c r="I89" s="37"/>
      <c r="J89" s="38"/>
      <c r="K89" s="70"/>
      <c r="L89" s="70"/>
      <c r="M89" s="43"/>
      <c r="N89" s="70"/>
      <c r="O89" s="70"/>
      <c r="P89" s="43"/>
      <c r="Q89" s="43"/>
      <c r="R89" s="37"/>
      <c r="S89" s="37"/>
      <c r="T89" s="26"/>
      <c r="U89" s="26"/>
      <c r="V89" s="26"/>
      <c r="W89" s="26"/>
      <c r="X89" s="40"/>
      <c r="Y89" s="40"/>
      <c r="Z89" s="40"/>
      <c r="AA89" s="40"/>
      <c r="AB89" s="297"/>
      <c r="AC89" s="40"/>
      <c r="AD89" s="40"/>
      <c r="AE89" s="40"/>
      <c r="AF89" s="40"/>
      <c r="AG89" s="40"/>
      <c r="AH89" s="40"/>
      <c r="AI89" s="41"/>
    </row>
    <row r="90" spans="2:35" ht="15.75" hidden="1" x14ac:dyDescent="0.25">
      <c r="B90" s="70"/>
      <c r="C90" s="70"/>
      <c r="D90" s="70"/>
      <c r="E90" s="70"/>
      <c r="F90" s="70"/>
      <c r="G90" s="70"/>
      <c r="H90" s="70"/>
      <c r="I90" s="37"/>
      <c r="J90" s="38"/>
      <c r="K90" s="70"/>
      <c r="L90" s="70"/>
      <c r="M90" s="43"/>
      <c r="N90" s="70"/>
      <c r="O90" s="70"/>
      <c r="P90" s="43"/>
      <c r="Q90" s="43"/>
      <c r="R90" s="37"/>
      <c r="S90" s="37"/>
      <c r="T90" s="26"/>
      <c r="U90" s="26"/>
      <c r="V90" s="26"/>
      <c r="W90" s="26"/>
      <c r="X90" s="40"/>
      <c r="Y90" s="40"/>
      <c r="Z90" s="40"/>
      <c r="AA90" s="40"/>
      <c r="AB90" s="297"/>
      <c r="AC90" s="40"/>
      <c r="AD90" s="40"/>
      <c r="AE90" s="40"/>
      <c r="AF90" s="40"/>
      <c r="AG90" s="40"/>
      <c r="AH90" s="40"/>
      <c r="AI90" s="41"/>
    </row>
    <row r="91" spans="2:35" ht="15.75" hidden="1" x14ac:dyDescent="0.25">
      <c r="B91" s="70"/>
      <c r="C91" s="70"/>
      <c r="D91" s="70"/>
      <c r="E91" s="70"/>
      <c r="F91" s="70"/>
      <c r="G91" s="70"/>
      <c r="H91" s="70"/>
      <c r="I91" s="37"/>
      <c r="J91" s="38"/>
      <c r="K91" s="70"/>
      <c r="L91" s="70"/>
      <c r="M91" s="43"/>
      <c r="N91" s="70"/>
      <c r="O91" s="70"/>
      <c r="P91" s="43"/>
      <c r="Q91" s="43"/>
      <c r="R91" s="37"/>
      <c r="S91" s="37"/>
      <c r="T91" s="26"/>
      <c r="U91" s="26"/>
      <c r="V91" s="26"/>
      <c r="W91" s="26"/>
      <c r="X91" s="40"/>
      <c r="Y91" s="40"/>
      <c r="Z91" s="40"/>
      <c r="AA91" s="40"/>
      <c r="AB91" s="297"/>
      <c r="AC91" s="40"/>
      <c r="AD91" s="40"/>
      <c r="AE91" s="40"/>
      <c r="AF91" s="40"/>
      <c r="AG91" s="40"/>
      <c r="AH91" s="40"/>
      <c r="AI91" s="41"/>
    </row>
    <row r="92" spans="2:35" hidden="1" x14ac:dyDescent="0.2"/>
    <row r="93" spans="2:35" hidden="1" x14ac:dyDescent="0.2"/>
    <row r="94" spans="2:35" hidden="1" x14ac:dyDescent="0.2"/>
    <row r="95" spans="2:35" hidden="1" x14ac:dyDescent="0.2"/>
    <row r="96" spans="2:3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spans="2:2" hidden="1" x14ac:dyDescent="0.2"/>
    <row r="114" spans="2:2" hidden="1" x14ac:dyDescent="0.2"/>
    <row r="115" spans="2:2" hidden="1" x14ac:dyDescent="0.2"/>
    <row r="116" spans="2:2" hidden="1" x14ac:dyDescent="0.2"/>
    <row r="117" spans="2:2" hidden="1" x14ac:dyDescent="0.2"/>
    <row r="118" spans="2:2" hidden="1" x14ac:dyDescent="0.2"/>
    <row r="119" spans="2:2" hidden="1" x14ac:dyDescent="0.2"/>
    <row r="120" spans="2:2" hidden="1" x14ac:dyDescent="0.2"/>
    <row r="121" spans="2:2" hidden="1" x14ac:dyDescent="0.2"/>
    <row r="122" spans="2:2" hidden="1" x14ac:dyDescent="0.2"/>
    <row r="123" spans="2:2" hidden="1" x14ac:dyDescent="0.2"/>
    <row r="124" spans="2:2" hidden="1" x14ac:dyDescent="0.2"/>
    <row r="125" spans="2:2" ht="15" x14ac:dyDescent="0.2">
      <c r="B125" s="303" t="s">
        <v>13</v>
      </c>
    </row>
    <row r="126" spans="2:2" ht="15" x14ac:dyDescent="0.2">
      <c r="B126" s="303" t="s">
        <v>14</v>
      </c>
    </row>
    <row r="128" spans="2:2" ht="18" x14ac:dyDescent="0.25">
      <c r="B128" s="13" t="s">
        <v>374</v>
      </c>
    </row>
  </sheetData>
  <sheetProtection algorithmName="SHA-512" hashValue="h3EVSKhHYGE+XMo+91e7PNk2ZF3N1+vWf9puJc6l9GfQ6ruSvWtw+e1hFqmGzZmOHkcMBd6vLAxGWBXyDiZMaw==" saltValue="LYcyk0roX7CNkf3tsPZecQ==" spinCount="100000" sheet="1" formatCells="0" insertColumns="0" insertRows="0" insertHyperlinks="0" deleteColumns="0" deleteRows="0" sort="0" autoFilter="0" pivotTables="0"/>
  <mergeCells count="27">
    <mergeCell ref="D83:F83"/>
    <mergeCell ref="D84:F84"/>
    <mergeCell ref="B80:AH81"/>
    <mergeCell ref="H8:P8"/>
    <mergeCell ref="B19:AI19"/>
    <mergeCell ref="H14:T14"/>
    <mergeCell ref="H15:AI15"/>
    <mergeCell ref="B10:C10"/>
    <mergeCell ref="H16:AI16"/>
    <mergeCell ref="H17:AI17"/>
    <mergeCell ref="J9:K9"/>
    <mergeCell ref="AH10:AI10"/>
    <mergeCell ref="AH11:AI11"/>
    <mergeCell ref="AH12:AI12"/>
    <mergeCell ref="AH13:AI13"/>
    <mergeCell ref="AH14:AI14"/>
    <mergeCell ref="D10:E10"/>
    <mergeCell ref="R20:S20"/>
    <mergeCell ref="AF20:AG20"/>
    <mergeCell ref="B70:AI70"/>
    <mergeCell ref="B78:D78"/>
    <mergeCell ref="J20:K20"/>
    <mergeCell ref="J71:K71"/>
    <mergeCell ref="R71:S71"/>
    <mergeCell ref="AF71:AG71"/>
    <mergeCell ref="L20:M20"/>
    <mergeCell ref="L71:M71"/>
  </mergeCells>
  <phoneticPr fontId="2" type="noConversion"/>
  <conditionalFormatting sqref="J21:J65">
    <cfRule type="expression" priority="23">
      <formula>IF($K$21:$K$65&gt;38,$K$21:$K$65&lt;35)</formula>
    </cfRule>
  </conditionalFormatting>
  <conditionalFormatting sqref="J72:J76">
    <cfRule type="expression" priority="5">
      <formula>IF($K$21:$K$65&gt;38,$K$21:$K$65&lt;35)</formula>
    </cfRule>
  </conditionalFormatting>
  <conditionalFormatting sqref="K21:L65">
    <cfRule type="expression" dxfId="3" priority="22">
      <formula>AND($G$21&gt;38,$G$21&lt;35)</formula>
    </cfRule>
  </conditionalFormatting>
  <conditionalFormatting sqref="K72:L76">
    <cfRule type="expression" dxfId="2" priority="1">
      <formula>AND($G$21&gt;38,$G$21&lt;35)</formula>
    </cfRule>
  </conditionalFormatting>
  <dataValidations xWindow="1039" yWindow="579" count="10">
    <dataValidation allowBlank="1" showInputMessage="1" showErrorMessage="1" promptTitle="Цвет краски" prompt="Укажите цвет краски" sqref="S21:S65 S72:S76" xr:uid="{00000000-0002-0000-0000-000000000000}"/>
    <dataValidation type="list" allowBlank="1" showInputMessage="1" showErrorMessage="1" promptTitle="Тыльная сторона" prompt="Тип покрытия на тыльной стороне детали" sqref="AG72" xr:uid="{00000000-0002-0000-0000-000001000000}">
      <formula1>#REF!</formula1>
    </dataValidation>
    <dataValidation type="list" allowBlank="1" showInputMessage="1" showErrorMessage="1" sqref="AE21:AE65 AE72:AE76" xr:uid="{00000000-0002-0000-0000-000003000000}">
      <formula1>C21:D21</formula1>
    </dataValidation>
    <dataValidation type="list" allowBlank="1" showInputMessage="1" showErrorMessage="1" sqref="J21:J65 J72:J76" xr:uid="{00000000-0002-0000-0000-000004000000}">
      <formula1>C21:D21</formula1>
    </dataValidation>
    <dataValidation type="list" allowBlank="1" showInputMessage="1" showErrorMessage="1" promptTitle="Цвет краски" prompt="Укажите цвет краски" sqref="R21:R65 R72:R76" xr:uid="{00000000-0002-0000-0000-000005000000}">
      <formula1>#REF!</formula1>
    </dataValidation>
    <dataValidation type="list" allowBlank="1" showInputMessage="1" showErrorMessage="1" promptTitle="Тип порытия плоских деталей" prompt="Выберите тип покрытия из выпадающего списка" sqref="C87:H91" xr:uid="{00000000-0002-0000-0000-000007000000}">
      <formula1>#REF!</formula1>
    </dataValidation>
    <dataValidation type="list" allowBlank="1" showInputMessage="1" showErrorMessage="1" sqref="O45 O23 O26 O33 O53 O21 O72:O76 T75:V75 T21:V65 T72:W74 T76:W76 G21:G65 G72:G76 AF21:AG21" xr:uid="{00000000-0002-0000-0000-000008000000}">
      <formula1>#REF!</formula1>
    </dataValidation>
    <dataValidation type="list" allowBlank="1" showInputMessage="1" showErrorMessage="1" promptTitle="Тыльная сторона" prompt="Тип покрытия на тыльной стороне детали" sqref="AC72:AC76 AB73 AC21:AC65" xr:uid="{00000000-0002-0000-0000-00000D000000}">
      <formula1>#REF!</formula1>
    </dataValidation>
    <dataValidation type="list" allowBlank="1" showInputMessage="1" showErrorMessage="1" promptTitle="Лицевая сторона" prompt="Тип покрытия на лицевой стороне детали" sqref="AB72 AB21:AB65" xr:uid="{00000000-0002-0000-0000-00000F000000}">
      <formula1>#REF!</formula1>
    </dataValidation>
    <dataValidation type="list" allowBlank="1" showInputMessage="1" showErrorMessage="1" promptTitle="Фрезерование кромки по периметру" prompt="Выберите из выпадающего списка тип фрезерования по периметру детали" sqref="H72 H21:H65 H75" xr:uid="{00000000-0002-0000-0000-000010000000}">
      <formula1>#REF!</formula1>
    </dataValidation>
  </dataValidations>
  <hyperlinks>
    <hyperlink ref="AI5" r:id="rId1" xr:uid="{00000000-0004-0000-0000-000000000000}"/>
  </hyperlinks>
  <pageMargins left="0.39370078740157483" right="0.39370078740157483" top="0.31496062992125984" bottom="0.31496062992125984" header="0.39370078740157483" footer="0.39370078740157483"/>
  <pageSetup paperSize="9" scale="45" fitToHeight="0" orientation="landscape" useFirstPageNumber="1" horizontalDpi="300" verticalDpi="300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xWindow="1039" yWindow="579" count="12">
        <x14:dataValidation type="list" allowBlank="1" showInputMessage="1" showErrorMessage="1" xr:uid="{00000000-0002-0000-0000-000013000000}">
          <x14:formula1>
            <xm:f>Лист1!$C$5:$C$12</xm:f>
          </x14:formula1>
          <xm:sqref>F21:F65</xm:sqref>
        </x14:dataValidation>
        <x14:dataValidation type="list" allowBlank="1" showInputMessage="1" showErrorMessage="1" xr:uid="{00000000-0002-0000-0000-000014000000}">
          <x14:formula1>
            <xm:f>Лист1!$S$5:$S$32</xm:f>
          </x14:formula1>
          <xm:sqref>P21:P65 P72:P76</xm:sqref>
        </x14:dataValidation>
        <x14:dataValidation type="list" allowBlank="1" showInputMessage="1" showErrorMessage="1" xr:uid="{00000000-0002-0000-0000-000015000000}">
          <x14:formula1>
            <xm:f>Лист1!$I$5:$I$6</xm:f>
          </x14:formula1>
          <xm:sqref>Y21:Y65 Y72:Y76 AA21:AA65</xm:sqref>
        </x14:dataValidation>
        <x14:dataValidation type="list" allowBlank="1" showInputMessage="1" showErrorMessage="1" xr:uid="{00000000-0002-0000-0000-000016000000}">
          <x14:formula1>
            <xm:f>Лист1!$H$5:$H$6</xm:f>
          </x14:formula1>
          <xm:sqref>X21:X65 X72:X76</xm:sqref>
        </x14:dataValidation>
        <x14:dataValidation type="list" allowBlank="1" showInputMessage="1" showErrorMessage="1" xr:uid="{00000000-0002-0000-0000-000017000000}">
          <x14:formula1>
            <xm:f>Лист1!$H$6:$H$7</xm:f>
          </x14:formula1>
          <xm:sqref>Z21:Z65 Z72:Z76</xm:sqref>
        </x14:dataValidation>
        <x14:dataValidation type="list" allowBlank="1" showInputMessage="1" showErrorMessage="1" xr:uid="{00000000-0002-0000-0000-000018000000}">
          <x14:formula1>
            <xm:f>Лист1!$C$9:$C$10</xm:f>
          </x14:formula1>
          <xm:sqref>F72:F76</xm:sqref>
        </x14:dataValidation>
        <x14:dataValidation type="list" allowBlank="1" showInputMessage="1" showErrorMessage="1" xr:uid="{00000000-0002-0000-0000-000019000000}">
          <x14:formula1>
            <xm:f>Лист1!$I$5:$I$7</xm:f>
          </x14:formula1>
          <xm:sqref>AA72:AA76</xm:sqref>
        </x14:dataValidation>
        <x14:dataValidation type="list" allowBlank="1" showInputMessage="1" showErrorMessage="1" xr:uid="{00000000-0002-0000-0000-00001A000000}">
          <x14:formula1>
            <xm:f>Лист1!$G$5:$G$10</xm:f>
          </x14:formula1>
          <xm:sqref>L21:L65 L72:L76</xm:sqref>
        </x14:dataValidation>
        <x14:dataValidation type="list" allowBlank="1" showInputMessage="1" showErrorMessage="1" xr:uid="{00000000-0002-0000-0000-00001B000000}">
          <x14:formula1>
            <xm:f>Лист1!$E$5:$E$6</xm:f>
          </x14:formula1>
          <xm:sqref>I21:I65 I72:I76</xm:sqref>
        </x14:dataValidation>
        <x14:dataValidation type="list" allowBlank="1" showInputMessage="1" showErrorMessage="1" xr:uid="{00000000-0002-0000-0000-00001C000000}">
          <x14:formula1>
            <xm:f>Лист1!$J$5:$J$20</xm:f>
          </x14:formula1>
          <xm:sqref>K73:K76</xm:sqref>
        </x14:dataValidation>
        <x14:dataValidation type="list" allowBlank="1" showInputMessage="1" showErrorMessage="1" xr:uid="{00000000-0002-0000-0000-00001D000000}">
          <x14:formula1>
            <xm:f>Лист1!$J$5:$J$19</xm:f>
          </x14:formula1>
          <xm:sqref>K72</xm:sqref>
        </x14:dataValidation>
        <x14:dataValidation type="list" allowBlank="1" showInputMessage="1" showErrorMessage="1" xr:uid="{EFBDEB31-7015-453F-8BD3-9E447BC34A60}">
          <x14:formula1>
            <xm:f>Лист1!$J$5:$J$36</xm:f>
          </x14:formula1>
          <xm:sqref>K21:K65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59"/>
  <sheetViews>
    <sheetView topLeftCell="A90" zoomScale="70" zoomScaleNormal="70" workbookViewId="0">
      <selection activeCell="T115" sqref="T115"/>
    </sheetView>
  </sheetViews>
  <sheetFormatPr defaultColWidth="11.5703125" defaultRowHeight="12.75" x14ac:dyDescent="0.2"/>
  <cols>
    <col min="1" max="1" width="3" style="147" customWidth="1"/>
    <col min="2" max="2" width="8.28515625" style="147" customWidth="1"/>
    <col min="3" max="4" width="16.42578125" style="147" customWidth="1"/>
    <col min="5" max="5" width="8.140625" style="147" customWidth="1"/>
    <col min="6" max="6" width="9.7109375" style="147" customWidth="1"/>
    <col min="7" max="7" width="20.140625" style="147" hidden="1" customWidth="1"/>
    <col min="8" max="8" width="14.42578125" style="147" hidden="1" customWidth="1"/>
    <col min="9" max="9" width="43.85546875" style="147" customWidth="1"/>
    <col min="10" max="10" width="19.28515625" style="147" customWidth="1"/>
    <col min="11" max="16" width="12.28515625" style="147" customWidth="1"/>
    <col min="17" max="18" width="12.28515625" style="147" hidden="1" customWidth="1"/>
    <col min="19" max="19" width="16.7109375" style="147" customWidth="1"/>
    <col min="20" max="20" width="16.5703125" style="147" bestFit="1" customWidth="1"/>
    <col min="21" max="21" width="17.42578125" style="147" hidden="1" customWidth="1"/>
    <col min="22" max="22" width="13.42578125" style="147" hidden="1" customWidth="1"/>
    <col min="23" max="24" width="13" style="147" hidden="1" customWidth="1"/>
    <col min="25" max="25" width="18.7109375" style="147" hidden="1" customWidth="1"/>
    <col min="26" max="26" width="13" style="147" hidden="1" customWidth="1"/>
    <col min="27" max="27" width="13" style="147" customWidth="1"/>
    <col min="28" max="30" width="16" style="147" customWidth="1"/>
    <col min="31" max="31" width="21" style="147" bestFit="1" customWidth="1"/>
    <col min="32" max="32" width="12.85546875" style="147" hidden="1" customWidth="1"/>
    <col min="33" max="33" width="14" style="147" hidden="1" customWidth="1"/>
    <col min="34" max="35" width="14" style="147" customWidth="1"/>
    <col min="36" max="38" width="15.42578125" style="147" customWidth="1"/>
    <col min="39" max="40" width="12.85546875" style="147" hidden="1" customWidth="1"/>
    <col min="41" max="41" width="21" style="147" customWidth="1"/>
    <col min="42" max="42" width="9.7109375" style="147" customWidth="1"/>
    <col min="43" max="43" width="11.5703125" style="147" customWidth="1"/>
    <col min="44" max="44" width="63.5703125" style="147" customWidth="1"/>
    <col min="45" max="46" width="11.5703125" style="147" customWidth="1"/>
    <col min="47" max="47" width="18" style="147" customWidth="1"/>
    <col min="48" max="16384" width="11.5703125" style="147"/>
  </cols>
  <sheetData>
    <row r="1" spans="1:43" ht="20.25" x14ac:dyDescent="0.3">
      <c r="B1" s="160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2"/>
      <c r="AH1" s="162"/>
      <c r="AI1" s="162"/>
      <c r="AJ1" s="162"/>
      <c r="AK1" s="162"/>
      <c r="AL1" s="162"/>
      <c r="AM1" s="162"/>
      <c r="AN1" s="162"/>
      <c r="AO1" s="162"/>
      <c r="AP1" s="163" t="s">
        <v>0</v>
      </c>
    </row>
    <row r="2" spans="1:43" ht="18" x14ac:dyDescent="0.25">
      <c r="B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4"/>
      <c r="AG2" s="165"/>
      <c r="AH2" s="165"/>
      <c r="AI2" s="165"/>
      <c r="AJ2" s="165"/>
      <c r="AK2" s="165"/>
      <c r="AL2" s="165"/>
      <c r="AM2" s="165"/>
      <c r="AN2" s="165"/>
      <c r="AO2" s="165"/>
      <c r="AP2" s="166" t="s">
        <v>36</v>
      </c>
    </row>
    <row r="3" spans="1:43" ht="15.75" customHeight="1" x14ac:dyDescent="0.25">
      <c r="B3" s="161"/>
      <c r="D3" s="161"/>
      <c r="E3" s="147" t="s">
        <v>1</v>
      </c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G3" s="165"/>
      <c r="AH3" s="165"/>
      <c r="AI3" s="165"/>
      <c r="AJ3" s="165"/>
      <c r="AK3" s="165"/>
      <c r="AL3" s="165"/>
      <c r="AM3" s="166"/>
      <c r="AN3" s="166"/>
      <c r="AO3" s="165"/>
      <c r="AP3" s="166" t="s">
        <v>37</v>
      </c>
    </row>
    <row r="4" spans="1:43" ht="18" x14ac:dyDescent="0.25">
      <c r="B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4"/>
      <c r="AG4" s="165"/>
      <c r="AH4" s="165"/>
      <c r="AI4" s="165"/>
      <c r="AJ4" s="165"/>
      <c r="AK4" s="165"/>
      <c r="AL4" s="165"/>
      <c r="AM4" s="165"/>
      <c r="AN4" s="165"/>
      <c r="AO4" s="165"/>
      <c r="AP4" s="166" t="s">
        <v>184</v>
      </c>
    </row>
    <row r="5" spans="1:43" ht="18" x14ac:dyDescent="0.25">
      <c r="B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4"/>
      <c r="AG5" s="165"/>
      <c r="AH5" s="165"/>
      <c r="AI5" s="165"/>
      <c r="AJ5" s="165"/>
      <c r="AK5" s="165"/>
      <c r="AL5" s="165"/>
      <c r="AM5" s="165"/>
      <c r="AN5" s="165"/>
      <c r="AO5" s="165"/>
      <c r="AP5" s="168" t="s">
        <v>28</v>
      </c>
    </row>
    <row r="6" spans="1:43" ht="18" x14ac:dyDescent="0.25">
      <c r="B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4"/>
      <c r="AG6" s="169"/>
      <c r="AH6" s="169"/>
      <c r="AI6" s="169"/>
      <c r="AJ6" s="169"/>
      <c r="AK6" s="169"/>
      <c r="AL6" s="169"/>
      <c r="AM6" s="169"/>
      <c r="AN6" s="169"/>
      <c r="AO6" s="170"/>
      <c r="AP6" s="170" t="s">
        <v>29</v>
      </c>
    </row>
    <row r="7" spans="1:43" ht="14.25" x14ac:dyDescent="0.2">
      <c r="A7" s="171"/>
      <c r="B7" s="172"/>
      <c r="C7" s="171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3"/>
      <c r="AH7" s="173"/>
      <c r="AI7" s="173"/>
      <c r="AJ7" s="173"/>
      <c r="AK7" s="173"/>
      <c r="AL7" s="173"/>
      <c r="AM7" s="173"/>
      <c r="AN7" s="173"/>
      <c r="AO7" s="173"/>
      <c r="AP7" s="171"/>
      <c r="AQ7" s="171"/>
    </row>
    <row r="8" spans="1:43" ht="23.25" customHeight="1" x14ac:dyDescent="0.2">
      <c r="A8" s="171"/>
      <c r="B8" s="174"/>
      <c r="C8" s="174"/>
      <c r="E8" s="175"/>
      <c r="F8" s="175"/>
      <c r="G8" s="175"/>
      <c r="H8" s="362" t="s">
        <v>161</v>
      </c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1"/>
    </row>
    <row r="9" spans="1:43" ht="26.25" customHeight="1" x14ac:dyDescent="0.4">
      <c r="A9" s="171"/>
      <c r="B9" s="174"/>
      <c r="C9" s="174"/>
      <c r="D9" s="176"/>
      <c r="E9" s="176"/>
      <c r="F9" s="176"/>
      <c r="G9" s="176"/>
      <c r="H9" s="176"/>
      <c r="I9" s="177" t="s">
        <v>38</v>
      </c>
      <c r="J9" s="177"/>
      <c r="K9" s="363" t="s">
        <v>185</v>
      </c>
      <c r="L9" s="363"/>
      <c r="M9" s="178"/>
      <c r="N9" s="178"/>
      <c r="O9" s="178"/>
      <c r="P9" s="179"/>
      <c r="Q9" s="179"/>
      <c r="R9" s="179"/>
      <c r="S9" s="179"/>
      <c r="T9" s="179"/>
      <c r="X9" s="178"/>
      <c r="Y9" s="178"/>
      <c r="Z9" s="178"/>
      <c r="AA9" s="178"/>
      <c r="AB9" s="178"/>
      <c r="AC9" s="178"/>
      <c r="AD9" s="178"/>
      <c r="AE9" s="178"/>
      <c r="AF9" s="179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1"/>
    </row>
    <row r="10" spans="1:43" s="184" customFormat="1" ht="27.75" x14ac:dyDescent="0.3">
      <c r="A10" s="180"/>
      <c r="B10" s="364" t="s">
        <v>42</v>
      </c>
      <c r="C10" s="364"/>
      <c r="D10" s="365"/>
      <c r="E10" s="365"/>
      <c r="F10" s="365"/>
      <c r="G10" s="365"/>
      <c r="H10" s="365"/>
      <c r="I10" s="365"/>
      <c r="J10" s="181"/>
      <c r="K10" s="179"/>
      <c r="L10" s="179"/>
      <c r="M10" s="179"/>
      <c r="N10" s="179"/>
      <c r="O10" s="179"/>
      <c r="P10" s="182"/>
      <c r="Q10" s="182"/>
      <c r="R10" s="182"/>
      <c r="S10" s="182"/>
      <c r="T10" s="182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G10" s="94"/>
      <c r="AH10" s="94"/>
      <c r="AI10" s="94"/>
      <c r="AJ10" s="94"/>
      <c r="AK10" s="94"/>
      <c r="AL10" s="185" t="s">
        <v>18</v>
      </c>
      <c r="AM10" s="125"/>
      <c r="AN10" s="125"/>
      <c r="AO10" s="366"/>
      <c r="AP10" s="366"/>
      <c r="AQ10" s="180"/>
    </row>
    <row r="11" spans="1:43" ht="15.75" customHeight="1" x14ac:dyDescent="0.3">
      <c r="A11" s="171"/>
      <c r="B11" s="186"/>
      <c r="C11" s="187" t="s">
        <v>43</v>
      </c>
      <c r="D11" s="188"/>
      <c r="E11" s="188"/>
      <c r="F11" s="188"/>
      <c r="G11" s="189"/>
      <c r="H11" s="188"/>
      <c r="I11" s="188"/>
      <c r="J11" s="188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G11" s="179"/>
      <c r="AH11" s="179"/>
      <c r="AI11" s="179"/>
      <c r="AJ11" s="179"/>
      <c r="AK11" s="179"/>
      <c r="AL11" s="191" t="s">
        <v>39</v>
      </c>
      <c r="AM11" s="192"/>
      <c r="AN11" s="192"/>
      <c r="AO11" s="367"/>
      <c r="AP11" s="367"/>
      <c r="AQ11" s="171"/>
    </row>
    <row r="12" spans="1:43" ht="15.75" customHeight="1" x14ac:dyDescent="0.3">
      <c r="A12" s="171"/>
      <c r="B12" s="186"/>
      <c r="C12" s="193"/>
      <c r="D12" s="186"/>
      <c r="E12" s="186"/>
      <c r="F12" s="186"/>
      <c r="G12" s="186"/>
      <c r="H12" s="194"/>
      <c r="I12" s="194"/>
      <c r="J12" s="194"/>
      <c r="K12" s="186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G12" s="179"/>
      <c r="AH12" s="179"/>
      <c r="AI12" s="179"/>
      <c r="AJ12" s="179"/>
      <c r="AK12" s="179"/>
      <c r="AL12" s="191" t="s">
        <v>40</v>
      </c>
      <c r="AM12" s="192"/>
      <c r="AN12" s="192"/>
      <c r="AO12" s="367"/>
      <c r="AP12" s="367"/>
      <c r="AQ12" s="171"/>
    </row>
    <row r="13" spans="1:43" ht="20.25" x14ac:dyDescent="0.3">
      <c r="A13" s="171"/>
      <c r="B13" s="186"/>
      <c r="C13" s="193"/>
      <c r="D13" s="195"/>
      <c r="E13" s="186"/>
      <c r="F13" s="186"/>
      <c r="G13" s="186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G13" s="179"/>
      <c r="AH13" s="179"/>
      <c r="AI13" s="179"/>
      <c r="AJ13" s="179"/>
      <c r="AK13" s="179"/>
      <c r="AL13" s="185" t="s">
        <v>41</v>
      </c>
      <c r="AM13" s="192"/>
      <c r="AN13" s="192"/>
      <c r="AO13" s="367"/>
      <c r="AP13" s="367"/>
      <c r="AQ13" s="171"/>
    </row>
    <row r="14" spans="1:43" ht="20.25" x14ac:dyDescent="0.3">
      <c r="A14" s="171"/>
      <c r="B14" s="196"/>
      <c r="C14" s="196"/>
      <c r="D14" s="196"/>
      <c r="E14" s="196"/>
      <c r="F14" s="196"/>
      <c r="G14" s="196"/>
      <c r="H14" s="361" t="s">
        <v>44</v>
      </c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197"/>
      <c r="Y14" s="197"/>
      <c r="Z14" s="197"/>
      <c r="AA14" s="197"/>
      <c r="AB14" s="197"/>
      <c r="AC14" s="197"/>
      <c r="AD14" s="197"/>
      <c r="AE14" s="197"/>
      <c r="AG14" s="179"/>
      <c r="AH14" s="179"/>
      <c r="AI14" s="179"/>
      <c r="AJ14" s="179"/>
      <c r="AK14" s="179"/>
      <c r="AL14" s="185" t="s">
        <v>19</v>
      </c>
      <c r="AM14" s="192"/>
      <c r="AN14" s="192"/>
      <c r="AO14" s="367"/>
      <c r="AP14" s="367"/>
      <c r="AQ14" s="171"/>
    </row>
    <row r="15" spans="1:43" ht="15.75" x14ac:dyDescent="0.2">
      <c r="A15" s="171"/>
      <c r="B15" s="198"/>
      <c r="C15" s="198"/>
      <c r="D15" s="198"/>
      <c r="E15" s="198"/>
      <c r="F15" s="198"/>
      <c r="G15" s="198"/>
      <c r="H15" s="361" t="s">
        <v>45</v>
      </c>
      <c r="I15" s="361"/>
      <c r="J15" s="361"/>
      <c r="K15" s="361"/>
      <c r="L15" s="361"/>
      <c r="M15" s="361"/>
      <c r="N15" s="361"/>
      <c r="O15" s="361"/>
      <c r="P15" s="361"/>
      <c r="Q15" s="361"/>
      <c r="R15" s="361"/>
      <c r="S15" s="361"/>
      <c r="T15" s="361"/>
      <c r="U15" s="361"/>
      <c r="V15" s="361"/>
      <c r="W15" s="361"/>
      <c r="X15" s="361"/>
      <c r="Y15" s="361"/>
      <c r="Z15" s="361"/>
      <c r="AA15" s="361"/>
      <c r="AB15" s="361"/>
      <c r="AC15" s="361"/>
      <c r="AD15" s="361"/>
      <c r="AE15" s="361"/>
      <c r="AF15" s="361"/>
      <c r="AG15" s="361"/>
      <c r="AH15" s="361"/>
      <c r="AI15" s="361"/>
      <c r="AJ15" s="361"/>
      <c r="AK15" s="361"/>
      <c r="AL15" s="361"/>
      <c r="AM15" s="361"/>
      <c r="AN15" s="361"/>
      <c r="AO15" s="361"/>
      <c r="AP15" s="361"/>
      <c r="AQ15" s="171"/>
    </row>
    <row r="16" spans="1:43" ht="15.75" x14ac:dyDescent="0.2">
      <c r="A16" s="171"/>
      <c r="B16" s="198"/>
      <c r="C16" s="172"/>
      <c r="D16" s="172"/>
      <c r="E16" s="172"/>
      <c r="F16" s="172"/>
      <c r="G16" s="172"/>
      <c r="H16" s="361" t="s">
        <v>46</v>
      </c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1"/>
      <c r="AA16" s="361"/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  <c r="AN16" s="361"/>
      <c r="AO16" s="361"/>
      <c r="AP16" s="361"/>
      <c r="AQ16" s="171"/>
    </row>
    <row r="17" spans="1:43" ht="15.75" x14ac:dyDescent="0.2">
      <c r="A17" s="171"/>
      <c r="B17" s="198"/>
      <c r="C17" s="172"/>
      <c r="D17" s="172"/>
      <c r="E17" s="172"/>
      <c r="F17" s="172"/>
      <c r="G17" s="172"/>
      <c r="H17" s="361" t="s">
        <v>47</v>
      </c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1"/>
      <c r="V17" s="361"/>
      <c r="W17" s="361"/>
      <c r="X17" s="361"/>
      <c r="Y17" s="361"/>
      <c r="Z17" s="361"/>
      <c r="AA17" s="361"/>
      <c r="AB17" s="361"/>
      <c r="AC17" s="361"/>
      <c r="AD17" s="361"/>
      <c r="AE17" s="361"/>
      <c r="AF17" s="361"/>
      <c r="AG17" s="361"/>
      <c r="AH17" s="361"/>
      <c r="AI17" s="361"/>
      <c r="AJ17" s="361"/>
      <c r="AK17" s="361"/>
      <c r="AL17" s="361"/>
      <c r="AM17" s="361"/>
      <c r="AN17" s="361"/>
      <c r="AO17" s="361"/>
      <c r="AP17" s="361"/>
      <c r="AQ17" s="171"/>
    </row>
    <row r="18" spans="1:43" s="199" customFormat="1" ht="12" customHeight="1" x14ac:dyDescent="0.45">
      <c r="B18" s="200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0"/>
      <c r="AO18" s="200"/>
      <c r="AP18" s="200"/>
    </row>
    <row r="19" spans="1:43" ht="18" x14ac:dyDescent="0.25">
      <c r="B19" s="368" t="s">
        <v>253</v>
      </c>
      <c r="C19" s="368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68"/>
      <c r="AN19" s="368"/>
      <c r="AO19" s="368"/>
      <c r="AP19" s="368"/>
    </row>
    <row r="20" spans="1:43" ht="76.5" x14ac:dyDescent="0.2">
      <c r="B20" s="201" t="s">
        <v>3</v>
      </c>
      <c r="C20" s="201" t="s">
        <v>49</v>
      </c>
      <c r="D20" s="201" t="s">
        <v>51</v>
      </c>
      <c r="E20" s="201" t="s">
        <v>50</v>
      </c>
      <c r="F20" s="201" t="s">
        <v>52</v>
      </c>
      <c r="G20" s="201" t="s">
        <v>166</v>
      </c>
      <c r="H20" s="201" t="s">
        <v>58</v>
      </c>
      <c r="I20" s="369" t="s">
        <v>179</v>
      </c>
      <c r="J20" s="370"/>
      <c r="K20" s="369" t="s">
        <v>53</v>
      </c>
      <c r="L20" s="370"/>
      <c r="M20" s="202" t="s">
        <v>169</v>
      </c>
      <c r="N20" s="202" t="s">
        <v>170</v>
      </c>
      <c r="O20" s="369" t="s">
        <v>171</v>
      </c>
      <c r="P20" s="370"/>
      <c r="Q20" s="203" t="s">
        <v>180</v>
      </c>
      <c r="R20" s="203" t="s">
        <v>168</v>
      </c>
      <c r="S20" s="201" t="s">
        <v>172</v>
      </c>
      <c r="T20" s="201" t="s">
        <v>173</v>
      </c>
      <c r="U20" s="371" t="s">
        <v>54</v>
      </c>
      <c r="V20" s="371"/>
      <c r="W20" s="201" t="s">
        <v>55</v>
      </c>
      <c r="X20" s="204" t="s">
        <v>176</v>
      </c>
      <c r="Y20" s="204" t="s">
        <v>181</v>
      </c>
      <c r="Z20" s="201" t="s">
        <v>167</v>
      </c>
      <c r="AA20" s="202" t="s">
        <v>254</v>
      </c>
      <c r="AB20" s="201" t="s">
        <v>183</v>
      </c>
      <c r="AC20" s="201" t="s">
        <v>174</v>
      </c>
      <c r="AD20" s="201" t="s">
        <v>182</v>
      </c>
      <c r="AE20" s="201" t="s">
        <v>175</v>
      </c>
      <c r="AF20" s="201" t="s">
        <v>59</v>
      </c>
      <c r="AG20" s="205" t="s">
        <v>56</v>
      </c>
      <c r="AH20" s="206" t="s">
        <v>124</v>
      </c>
      <c r="AI20" s="206" t="s">
        <v>125</v>
      </c>
      <c r="AJ20" s="369" t="s">
        <v>177</v>
      </c>
      <c r="AK20" s="370"/>
      <c r="AL20" s="205" t="s">
        <v>178</v>
      </c>
      <c r="AM20" s="369" t="s">
        <v>115</v>
      </c>
      <c r="AN20" s="370"/>
      <c r="AO20" s="201" t="s">
        <v>48</v>
      </c>
      <c r="AP20" s="203" t="s">
        <v>57</v>
      </c>
    </row>
    <row r="21" spans="1:43" s="207" customFormat="1" ht="20.25" x14ac:dyDescent="0.2">
      <c r="B21" s="208">
        <v>1</v>
      </c>
      <c r="C21" s="209">
        <f>Бланк!C21</f>
        <v>0</v>
      </c>
      <c r="D21" s="209">
        <f>Бланк!D21</f>
        <v>0</v>
      </c>
      <c r="E21" s="209">
        <f>Бланк!E21</f>
        <v>0</v>
      </c>
      <c r="F21" s="209">
        <f>Бланк!F21</f>
        <v>0</v>
      </c>
      <c r="G21" s="209">
        <f>Бланк!G21</f>
        <v>0</v>
      </c>
      <c r="H21" s="209">
        <f>Бланк!H21</f>
        <v>0</v>
      </c>
      <c r="I21" s="210" t="str">
        <f>IF(Бланк!$I21="","",Бланк!$I21)</f>
        <v/>
      </c>
      <c r="J21" s="211" t="str">
        <f>IF(OR($C21="",$C21=0),"",IF($I21="Пряма з чвертю",(Прайс!$J$42+Прайс!$J$44)*Просчёт!$E21,IF($I21="Пряма без чверті",Просчёт!$E21*Прайс!$J$42,"")))</f>
        <v/>
      </c>
      <c r="K21" s="210" t="str">
        <f>IF(Бланк!$K21="","",Бланк!$K21)</f>
        <v/>
      </c>
      <c r="L21" s="212" t="str">
        <f>IF(Бланк!$J21="","",Бланк!$J21/1000)</f>
        <v/>
      </c>
      <c r="M21" s="213" t="str">
        <f>IF($K21="","",IF(OR($K21="J № 1",$K21="J № 2",$K21="J № 2L",$K21="J № 2R",$K21="AJ № 2",$K21="AJ № 2L",$K21="AJ № 2R",$K21="U",$K21="V"),$L21*$E21,IF(OR($K21="J № 3L",$K21="J № 3R",$K21="J № 4L",$K21="J № 4R",$K21="J № 5L",$K21="J № 5R"),$L21/2*$E21,IF(K21="45 град.",$L21*$E21,0))))</f>
        <v/>
      </c>
      <c r="N21" s="213" t="str">
        <f>IF($K21="","",IF(OR($K21="J № 1",$K21="J № 2",$K21="J № 2L",$K21="J № 2R",$K21="AJ № 2",$K21="AJ № 2L",$K21="AJ № 2R",$K21="U",$K21="V"),$L21*$E21*Прайс!$J$45,IF(OR($K21="AJ № 3R",$K21="AJ № 4R",$K21="AJ № 5R",$K21="AJ № 3L",$K21="AJ № 4L",$K21="AJ № 5L",$K21="AJ № 3",$K21="AJ № 4",$K21="AJ № 5",$K21="J № 3",$K21="J № 4",$K21="J № 5",$K21="J № 6",$K21="J № 7",$K21="L",$K21="AL"),Прайс!$J$45*$E21,IF(OR($K21="J № 3L",$K21="J № 3R",$K21="J № 4L",$K21="J № 4R",$K21="J № 5L",$K21="J № 5R"),$L21/2*Прайс!$J$45*$E21,IF($K21="45 град.",$L21*Прайс!$J$50*$E21,0)))))</f>
        <v/>
      </c>
      <c r="O21" s="210" t="str">
        <f>IF(Бланк!$L21="","",Бланк!$L21)</f>
        <v/>
      </c>
      <c r="P21" s="210" t="str">
        <f>IF(Бланк!$M21="","",Бланк!$M21)</f>
        <v/>
      </c>
      <c r="Q21" s="214"/>
      <c r="R21" s="215"/>
      <c r="S21" s="210" t="str">
        <f>IF(Бланк!$P21="","",Бланк!$P21)</f>
        <v/>
      </c>
      <c r="T21" s="209" t="str">
        <f>IF($S21="","",VLOOKUP($S21,Лист1!$S$5:$T$32,2,FALSE))</f>
        <v/>
      </c>
      <c r="U21" s="215"/>
      <c r="V21" s="212"/>
      <c r="W21" s="212"/>
      <c r="X21" s="212"/>
      <c r="Y21" s="212"/>
      <c r="Z21" s="209"/>
      <c r="AA21" s="209" t="e">
        <f>VLOOKUP($S21,Прайс!$C$62:$E$90,3,FALSE)</f>
        <v>#N/A</v>
      </c>
      <c r="AB21" s="210" t="str">
        <f>IF(Бланк!$X21="","",Бланк!$X21)</f>
        <v/>
      </c>
      <c r="AC21" s="210" t="str">
        <f>IF(Бланк!$Y21="","",Бланк!$Y21)</f>
        <v/>
      </c>
      <c r="AD21" s="210" t="str">
        <f>IF(Бланк!$Z21="","",Бланк!$Z21)</f>
        <v/>
      </c>
      <c r="AE21" s="210" t="str">
        <f>IF(Бланк!$AA21="","",Бланк!$AA21)</f>
        <v/>
      </c>
      <c r="AF21" s="212"/>
      <c r="AG21" s="216"/>
      <c r="AH21" s="211">
        <f>IF(OR($C21=0,$C21=""),0,IF(AND($AB21="Матове",$AC21="Відкрита пора",$AA21=1,$AD21="Ламінат",OR($F21=4,$F21=6,$F21=8,$F21=10,$F21=16)),$AP21*Прайс!$G$17,IF(AND($AB21="Матове",$AC21="Відкрита пора",$AA21=2,$AD21="Ламінат",OR($F21=4,$F21=6,$F21=8,$F21=10,$F21=16)),$AP21*Прайс!$G$18,IF(AND($AB21="Матове",$AC21="Закрита пора",$AA21=1,$AD21="Ламінат",OR($F21=4,$F21=6,$F21=8,$F21=10,$F21=16)),$AP21*Прайс!$G$19,IF(AND($AB21="Матове",$AC21="Закрита пора",$AA21=2,$AD21="Ламінат",OR($F21=4,$F21=6,$F21=8,$F21=10,$F21=16)),$AP21*Прайс!$G$20,IF(AND($AB21="Глянець",$AC21="Закрита пора",$AA21=1,$AD21="Ламінат",OR($F21=4,$F21=6,$F21=8,$F21=10,$F21=16)),$AP21*Прайс!$G$21,IF(AND($AB21="Глянець",$AC21="Закрита пора",$AA21=2,$AD21="Ламінат",OR($F21=4,$F21=6,$F21=8,$F21=10,$F21=16)),$AP21*Прайс!$G$22,IF(AND($AB21="Матове",$AC21="Відкрита пора",$AA21=1,$AD21="Матове",$AE21="Відкрита пора",OR($F21=4,$F21=6,$F21=8,$F21=10,$F21=16)),$AP21*Прайс!$G$23,IF(AND($AB21="Матове",$AC21="Відкрита пора",$AA21=2,$AD21="Матове",$AE21="Відкрита пора",OR($F21=4,$F21=6,$F21=8,$F21=10,$F21=16)),$AP21*Прайс!$G$24,IF(AND($AB21="Матове",$AC21="Закрита пора",$AA21=1,$AD21="Матове",$AE21="Відкрита пора",OR($F21=4,$F21=6,$F21=8,$F21=10,$F21=16)),$AP21*Прайс!$G$25,IF(AND($AB21="Матове",$AC21="Закрита пора",$AA21=2,$AD21="Матове",$AE21="Відкрита пора",OR($F21=4,$F21=6,$F21=8,$F21=10,$F21=16)),$AP21*Прайс!$G$26,IF(AND($AB21="Глянець",$AC21="Закрита пора",$AA21=1,$AD21="Матове",$AE21="Відкрита пора",OR($F21=4,$F21=6,$F21=8,$F21=10,$F21=16)),$AP21*Прайс!$G$27,IF(AND($AB21="Глянець",$AC21="Закрита пора",$AA21=2,$AD21="Матове",$AE21="Відкрита пора",OR($F21=4,$F21=6,$F21=8,$F21=10,$F21=16)),$AP21*Прайс!$G$28,0)))))))))))))</f>
        <v>0</v>
      </c>
      <c r="AI21" s="211">
        <f>IF(OR($C21=0,$C21=""),0,IF(AND($AB21="Матове",$AC21="Відкрита пора",$AA21=1,$AD21="Ламінат",$F21=19),$AP21*Прайс!$I$17,IF(AND($AB21="Матове",$AC21="Відкрита пора",$AA21=2,$AD21="Ламінат",$F21=19),$AP21*Прайс!$I$18,IF(AND($AB21="Матове",$AC21="Закрита пора",$AA21=1,$AD21="Ламінат",$F21=19),$AP21*Прайс!$I$19,IF(AND($AB21="Матове",$AC21="Закрита пора",$AA21=2,$AD21="Ламінат",$F21=19),$AP21*Прайс!$I$20,IF(AND($AB21="Глянець",$AC21="Закрита пора",$AA21=1,$AD21="Ламінат",$F21=19),$AP21*Прайс!$I$21,IF(AND($AB21="Глянець",$AC21="Закрита пора",$AA21=2,$AD21="Ламінат",$F21=19),$AP21*Прайс!$I$22,IF(AND($AB21="Матове",$AC21="Відкрита пора",$AA21=1,$AD21="Матове",$AE21="Відкрита пора",$F21=19),$AP21*Прайс!$I$23,IF(AND($AB21="Матове",$AC21="Відкрита пора",$AA21=2,$AD21="Матове",$AE21="Відкрита пора",$F21=19),$AP21*Прайс!$I$24,IF(AND($AB21="Матове",$AC21="Закрита пора",$AA21=1,$AD21="Матове",$AE21="Відкрита пора",$F21=19),$AP21*Прайс!$I$25,IF(AND($AB21="Матове",$AC21="Закрита пора",$AA21=2,$AD21="Матове",$AE21="Відкрита пора",$F21=19),$AP21*Прайс!$I$26,IF(AND($AB21="Глянець",$AC21="Закрита пора",$AA21=1,$AD21="Матове",$AE21="Відкрита пора",$F21=19),$AP21*Прайс!$I$27,IF(AND($AB21="Глянець",$AC21="Закрита пора",$AA21=2,$AD21="Матове",$AE21="Відкрита пора",$F21=19),$AP21*Прайс!$I$28,0)))))))))))))</f>
        <v>0</v>
      </c>
      <c r="AJ21" s="210" t="str">
        <f>IF(Бланк!$AD21="","",Бланк!$AD21*E21)</f>
        <v/>
      </c>
      <c r="AK21" s="213" t="str">
        <f>IF(OR($AJ21=0,$AJ21=""),"",$AJ21*Прайс!$J$47*$E21)</f>
        <v/>
      </c>
      <c r="AL21" s="217"/>
      <c r="AM21" s="218"/>
      <c r="AN21" s="218"/>
      <c r="AO21" s="218"/>
      <c r="AP21" s="107">
        <f>C21*D21/1000000*E21</f>
        <v>0</v>
      </c>
    </row>
    <row r="22" spans="1:43" s="207" customFormat="1" ht="20.25" x14ac:dyDescent="0.2">
      <c r="B22" s="219">
        <v>2</v>
      </c>
      <c r="C22" s="209">
        <f>Бланк!C22</f>
        <v>0</v>
      </c>
      <c r="D22" s="209">
        <f>Бланк!D22</f>
        <v>0</v>
      </c>
      <c r="E22" s="209">
        <f>Бланк!E22</f>
        <v>0</v>
      </c>
      <c r="F22" s="209">
        <f>Бланк!F22</f>
        <v>0</v>
      </c>
      <c r="G22" s="209"/>
      <c r="H22" s="212"/>
      <c r="I22" s="210" t="str">
        <f>IF(Бланк!$I22="","",Бланк!$I22)</f>
        <v/>
      </c>
      <c r="J22" s="211" t="str">
        <f>IF(OR($C22="",$C22=0),"",IF($I22="Пряма з чвертю",(Прайс!$J$42+Прайс!$J$44)*Просчёт!$E22,IF($I22="Пряма без чверті",Просчёт!$E22*Прайс!$J$42,"")))</f>
        <v/>
      </c>
      <c r="K22" s="210" t="str">
        <f>IF(Бланк!$K22="","",Бланк!$K22)</f>
        <v/>
      </c>
      <c r="L22" s="212" t="str">
        <f>IF(Бланк!$J22="","",Бланк!$J22/1000)</f>
        <v/>
      </c>
      <c r="M22" s="213" t="str">
        <f t="shared" ref="M22:M60" si="0">IF($K22="","",IF(OR($K22="J № 1",$K22="J № 2",$K22="J № 2L",$K22="J № 2R",$K22="AJ № 2",$K22="AJ № 2L",$K22="AJ № 2R",$K22="U",$K22="V"),$L22*$E22,IF(OR($K22="J № 3L",$K22="J № 3R",$K22="J № 4L",$K22="J № 4R",$K22="J № 5L",$K22="J № 5R"),$L22/2*$E22,IF(K22="45 град.",$L22*$E22,0))))</f>
        <v/>
      </c>
      <c r="N22" s="213" t="str">
        <f>IF($K22="","",IF(OR($K22="J № 1",$K22="J № 2",$K22="J № 2L",$K22="J № 2R",$K22="AJ № 2",$K22="AJ № 2L",$K22="AJ № 2R",$K22="U",$K22="V"),$L22*$E22*Прайс!$J$45,IF(OR($K22="AJ № 3R",$K22="AJ № 4R",$K22="AJ № 5R",$K22="AJ № 3L",$K22="AJ № 4L",$K22="AJ № 5L",$K22="AJ № 3",$K22="AJ № 4",$K22="AJ № 5",$K22="J № 3",$K22="J № 4",$K22="J № 5",$K22="J № 6",$K22="J № 7",$K22="L",$K22="AL"),Прайс!$J$45*$E22,IF(OR($K22="J № 3L",$K22="J № 3R",$K22="J № 4L",$K22="J № 4R",$K22="J № 5L",$K22="J № 5R"),$L22/2*Прайс!$J$45*$E22,IF($K22="45 град.",$L22*Прайс!$J$50*$E22,0)))))</f>
        <v/>
      </c>
      <c r="O22" s="210" t="str">
        <f>IF(Бланк!$L22="","",Бланк!$L22)</f>
        <v/>
      </c>
      <c r="P22" s="210" t="str">
        <f>IF(Бланк!$M22="","",Бланк!$M22)</f>
        <v/>
      </c>
      <c r="Q22" s="214"/>
      <c r="R22" s="215"/>
      <c r="S22" s="210" t="str">
        <f>IF(Бланк!$P22="","",Бланк!$P22)</f>
        <v/>
      </c>
      <c r="T22" s="209" t="str">
        <f>IF($S22="","",VLOOKUP($S22,Лист1!$S$5:$T$32,2,FALSE))</f>
        <v/>
      </c>
      <c r="U22" s="215"/>
      <c r="V22" s="212"/>
      <c r="W22" s="212"/>
      <c r="X22" s="212"/>
      <c r="Y22" s="212"/>
      <c r="Z22" s="209"/>
      <c r="AA22" s="209" t="e">
        <f>VLOOKUP($S22,Прайс!$C$62:$E$90,3,FALSE)</f>
        <v>#N/A</v>
      </c>
      <c r="AB22" s="210" t="str">
        <f>IF(Бланк!$X22="","",Бланк!$X22)</f>
        <v/>
      </c>
      <c r="AC22" s="210" t="str">
        <f>IF(Бланк!$Y22="","",Бланк!$Y22)</f>
        <v/>
      </c>
      <c r="AD22" s="210" t="str">
        <f>IF(Бланк!$Z22="","",Бланк!$Z22)</f>
        <v/>
      </c>
      <c r="AE22" s="210" t="str">
        <f>IF(Бланк!$AA22="","",Бланк!$AA22)</f>
        <v/>
      </c>
      <c r="AF22" s="212"/>
      <c r="AG22" s="216"/>
      <c r="AH22" s="211">
        <f>IF(OR($C22=0,$C22=""),0,IF(AND($AB22="Матове",$AC22="Відкрита пора",$AA22=1,$AD22="Ламінат",OR($F22=4,$F22=6,$F22=8,$F22=10,$F22=16)),$AP22*Прайс!$G$17,IF(AND($AB22="Матове",$AC22="Відкрита пора",$AA22=2,$AD22="Ламінат",OR($F22=4,$F22=6,$F22=8,$F22=10,$F22=16)),$AP22*Прайс!$G$18,IF(AND($AB22="Матове",$AC22="Закрита пора",$AA22=1,$AD22="Ламінат",OR($F22=4,$F22=6,$F22=8,$F22=10,$F22=16)),$AP22*Прайс!$G$19,IF(AND($AB22="Матове",$AC22="Закрита пора",$AA22=2,$AD22="Ламінат",OR($F22=4,$F22=6,$F22=8,$F22=10,$F22=16)),$AP22*Прайс!$G$20,IF(AND($AB22="Глянець",$AC22="Закрита пора",$AA22=1,$AD22="Ламінат",OR($F22=4,$F22=6,$F22=8,$F22=10,$F22=16)),$AP22*Прайс!$G$21,IF(AND($AB22="Глянець",$AC22="Закрита пора",$AA22=2,$AD22="Ламінат",OR($F22=4,$F22=6,$F22=8,$F22=10,$F22=16)),$AP22*Прайс!$G$22,IF(AND($AB22="Матове",$AC22="Відкрита пора",$AA22=1,$AD22="Матове",$AE22="Відкрита пора",OR($F22=4,$F22=6,$F22=8,$F22=10,$F22=16)),$AP22*Прайс!$G$23,IF(AND($AB22="Матове",$AC22="Відкрита пора",$AA22=2,$AD22="Матове",$AE22="Відкрита пора",OR($F22=4,$F22=6,$F22=8,$F22=10,$F22=16)),$AP22*Прайс!$G$24,IF(AND($AB22="Матове",$AC22="Закрита пора",$AA22=1,$AD22="Матове",$AE22="Відкрита пора",OR($F22=4,$F22=6,$F22=8,$F22=10,$F22=16)),$AP22*Прайс!$G$25,IF(AND($AB22="Матове",$AC22="Закрита пора",$AA22=2,$AD22="Матове",$AE22="Відкрита пора",OR($F22=4,$F22=6,$F22=8,$F22=10,$F22=16)),$AP22*Прайс!$G$26,IF(AND($AB22="Глянець",$AC22="Закрита пора",$AA22=1,$AD22="Матове",$AE22="Відкрита пора",OR($F22=4,$F22=6,$F22=8,$F22=10,$F22=16)),$AP22*Прайс!$G$27,IF(AND($AB22="Глянець",$AC22="Закрита пора",$AA22=2,$AD22="Матове",$AE22="Відкрита пора",OR($F22=4,$F22=6,$F22=8,$F22=10,$F22=16)),$AP22*Прайс!$G$28,0)))))))))))))</f>
        <v>0</v>
      </c>
      <c r="AI22" s="211">
        <f>IF(OR($C22=0,$C22=""),0,IF(AND($AB22="Матове",$AC22="Відкрита пора",$AA22=1,$AD22="Ламінат",$F22=19),$AP22*Прайс!$I$17,IF(AND($AB22="Матове",$AC22="Відкрита пора",$AA22=2,$AD22="Ламінат",$F22=19),$AP22*Прайс!$I$18,IF(AND($AB22="Матове",$AC22="Закрита пора",$AA22=1,$AD22="Ламінат",$F22=19),$AP22*Прайс!$I$19,IF(AND($AB22="Матове",$AC22="Закрита пора",$AA22=2,$AD22="Ламінат",$F22=19),$AP22*Прайс!$I$20,IF(AND($AB22="Глянець",$AC22="Закрита пора",$AA22=1,$AD22="Ламінат",$F22=19),$AP22*Прайс!$I$21,IF(AND($AB22="Глянець",$AC22="Закрита пора",$AA22=2,$AD22="Ламінат",$F22=19),$AP22*Прайс!$I$22,IF(AND($AB22="Матове",$AC22="Відкрита пора",$AA22=1,$AD22="Матове",$AE22="Відкрита пора",$F22=19),$AP22*Прайс!$I$23,IF(AND($AB22="Матове",$AC22="Відкрита пора",$AA22=2,$AD22="Матове",$AE22="Відкрита пора",$F22=19),$AP22*Прайс!$I$24,IF(AND($AB22="Матове",$AC22="Закрита пора",$AA22=1,$AD22="Матове",$AE22="Відкрита пора",$F22=19),$AP22*Прайс!$I$25,IF(AND($AB22="Матове",$AC22="Закрита пора",$AA22=2,$AD22="Матове",$AE22="Відкрита пора",$F22=19),$AP22*Прайс!$I$26,IF(AND($AB22="Глянець",$AC22="Закрита пора",$AA22=1,$AD22="Матове",$AE22="Відкрита пора",$F22=19),$AP22*Прайс!$I$27,IF(AND($AB22="Глянець",$AC22="Закрита пора",$AA22=2,$AD22="Матове",$AE22="Відкрита пора",$F22=19),$AP22*Прайс!$I$28,0)))))))))))))</f>
        <v>0</v>
      </c>
      <c r="AJ22" s="210" t="str">
        <f>IF(Бланк!$AD22="","",Бланк!$AD22*E22)</f>
        <v/>
      </c>
      <c r="AK22" s="213" t="str">
        <f>IF(OR($AJ22=0,$AJ22=""),"",$AJ22*Прайс!$J$47)</f>
        <v/>
      </c>
      <c r="AL22" s="217"/>
      <c r="AM22" s="218"/>
      <c r="AN22" s="218"/>
      <c r="AO22" s="218"/>
      <c r="AP22" s="107">
        <f t="shared" ref="AP22:AP65" si="1">C22*D22/1000000*E22</f>
        <v>0</v>
      </c>
    </row>
    <row r="23" spans="1:43" s="207" customFormat="1" ht="20.25" x14ac:dyDescent="0.2">
      <c r="B23" s="219">
        <v>3</v>
      </c>
      <c r="C23" s="209">
        <f>Бланк!C23</f>
        <v>0</v>
      </c>
      <c r="D23" s="209">
        <f>Бланк!D23</f>
        <v>0</v>
      </c>
      <c r="E23" s="209">
        <f>Бланк!E23</f>
        <v>0</v>
      </c>
      <c r="F23" s="209">
        <f>Бланк!F23</f>
        <v>0</v>
      </c>
      <c r="G23" s="209"/>
      <c r="H23" s="212"/>
      <c r="I23" s="210" t="str">
        <f>IF(Бланк!$I23="","",Бланк!$I23)</f>
        <v/>
      </c>
      <c r="J23" s="211" t="str">
        <f>IF(OR($C23="",$C23=0),"",IF($I23="Пряма з чвертю",(Прайс!$J$42+Прайс!$J$44)*Просчёт!$E23,IF($I23="Пряма без чверті",Просчёт!$E23*Прайс!$J$42,"")))</f>
        <v/>
      </c>
      <c r="K23" s="210" t="str">
        <f>IF(Бланк!$K23="","",Бланк!$K23)</f>
        <v/>
      </c>
      <c r="L23" s="212" t="str">
        <f>IF(Бланк!$J23="","",Бланк!$J23/1000)</f>
        <v/>
      </c>
      <c r="M23" s="213" t="str">
        <f t="shared" si="0"/>
        <v/>
      </c>
      <c r="N23" s="213" t="str">
        <f>IF($K23="","",IF(OR($K23="J № 1",$K23="J № 2",$K23="J № 2L",$K23="J № 2R",$K23="AJ № 2",$K23="AJ № 2L",$K23="AJ № 2R",$K23="U",$K23="V"),$L23*$E23*Прайс!$J$45,IF(OR($K23="AJ № 3R",$K23="AJ № 4R",$K23="AJ № 5R",$K23="AJ № 3L",$K23="AJ № 4L",$K23="AJ № 5L",$K23="AJ № 3",$K23="AJ № 4",$K23="AJ № 5",$K23="J № 3",$K23="J № 4",$K23="J № 5",$K23="J № 6",$K23="J № 7",$K23="L",$K23="AL"),Прайс!$J$45*$E23,IF(OR($K23="J № 3L",$K23="J № 3R",$K23="J № 4L",$K23="J № 4R",$K23="J № 5L",$K23="J № 5R"),$L23/2*Прайс!$J$45*$E23,IF($K23="45 град.",$L23*Прайс!$J$50*$E23,0)))))</f>
        <v/>
      </c>
      <c r="O23" s="210" t="str">
        <f>IF(Бланк!$L23="","",Бланк!$L23)</f>
        <v/>
      </c>
      <c r="P23" s="210" t="str">
        <f>IF(Бланк!$M23="","",Бланк!$M23)</f>
        <v/>
      </c>
      <c r="Q23" s="214"/>
      <c r="R23" s="215"/>
      <c r="S23" s="210" t="str">
        <f>IF(Бланк!$P23="","",Бланк!$P23)</f>
        <v/>
      </c>
      <c r="T23" s="209" t="str">
        <f>IF($S23="","",VLOOKUP($S23,Лист1!$S$5:$T$32,2,FALSE))</f>
        <v/>
      </c>
      <c r="U23" s="215"/>
      <c r="V23" s="212"/>
      <c r="W23" s="212"/>
      <c r="X23" s="212"/>
      <c r="Y23" s="212"/>
      <c r="Z23" s="209"/>
      <c r="AA23" s="209" t="e">
        <f>VLOOKUP($S23,Прайс!$C$62:$E$90,3,FALSE)</f>
        <v>#N/A</v>
      </c>
      <c r="AB23" s="210" t="str">
        <f>IF(Бланк!$X23="","",Бланк!$X23)</f>
        <v/>
      </c>
      <c r="AC23" s="210" t="str">
        <f>IF(Бланк!$Y23="","",Бланк!$Y23)</f>
        <v/>
      </c>
      <c r="AD23" s="210" t="str">
        <f>IF(Бланк!$Z23="","",Бланк!$Z23)</f>
        <v/>
      </c>
      <c r="AE23" s="210" t="str">
        <f>IF(Бланк!$AA23="","",Бланк!$AA23)</f>
        <v/>
      </c>
      <c r="AF23" s="212"/>
      <c r="AG23" s="216"/>
      <c r="AH23" s="211">
        <f>IF(OR($C23=0,$C23=""),0,IF(AND($AB23="Матове",$AC23="Відкрита пора",$AA23=1,$AD23="Ламінат",OR($F23=4,$F23=6,$F23=8,$F23=10,$F23=16)),$AP23*Прайс!$G$17,IF(AND($AB23="Матове",$AC23="Відкрита пора",$AA23=2,$AD23="Ламінат",OR($F23=4,$F23=6,$F23=8,$F23=10,$F23=16)),$AP23*Прайс!$G$18,IF(AND($AB23="Матове",$AC23="Закрита пора",$AA23=1,$AD23="Ламінат",OR($F23=4,$F23=6,$F23=8,$F23=10,$F23=16)),$AP23*Прайс!$G$19,IF(AND($AB23="Матове",$AC23="Закрита пора",$AA23=2,$AD23="Ламінат",OR($F23=4,$F23=6,$F23=8,$F23=10,$F23=16)),$AP23*Прайс!$G$20,IF(AND($AB23="Глянець",$AC23="Закрита пора",$AA23=1,$AD23="Ламінат",OR($F23=4,$F23=6,$F23=8,$F23=10,$F23=16)),$AP23*Прайс!$G$21,IF(AND($AB23="Глянець",$AC23="Закрита пора",$AA23=2,$AD23="Ламінат",OR($F23=4,$F23=6,$F23=8,$F23=10,$F23=16)),$AP23*Прайс!$G$22,IF(AND($AB23="Матове",$AC23="Відкрита пора",$AA23=1,$AD23="Матове",$AE23="Відкрита пора",OR($F23=4,$F23=6,$F23=8,$F23=10,$F23=16)),$AP23*Прайс!$G$23,IF(AND($AB23="Матове",$AC23="Відкрита пора",$AA23=2,$AD23="Матове",$AE23="Відкрита пора",OR($F23=4,$F23=6,$F23=8,$F23=10,$F23=16)),$AP23*Прайс!$G$24,IF(AND($AB23="Матове",$AC23="Закрита пора",$AA23=1,$AD23="Матове",$AE23="Відкрита пора",OR($F23=4,$F23=6,$F23=8,$F23=10,$F23=16)),$AP23*Прайс!$G$25,IF(AND($AB23="Матове",$AC23="Закрита пора",$AA23=2,$AD23="Матове",$AE23="Відкрита пора",OR($F23=4,$F23=6,$F23=8,$F23=10,$F23=16)),$AP23*Прайс!$G$26,IF(AND($AB23="Глянець",$AC23="Закрита пора",$AA23=1,$AD23="Матове",$AE23="Відкрита пора",OR($F23=4,$F23=6,$F23=8,$F23=10,$F23=16)),$AP23*Прайс!$G$27,IF(AND($AB23="Глянець",$AC23="Закрита пора",$AA23=2,$AD23="Матове",$AE23="Відкрита пора",OR($F23=4,$F23=6,$F23=8,$F23=10,$F23=16)),$AP23*Прайс!$G$28,0)))))))))))))</f>
        <v>0</v>
      </c>
      <c r="AI23" s="211">
        <f>IF(OR($C23=0,$C23=""),0,IF(AND($AB23="Матове",$AC23="Відкрита пора",$AA23=1,$AD23="Ламінат",$F23=19),$AP23*Прайс!$I$17,IF(AND($AB23="Матове",$AC23="Відкрита пора",$AA23=2,$AD23="Ламінат",$F23=19),$AP23*Прайс!$I$18,IF(AND($AB23="Матове",$AC23="Закрита пора",$AA23=1,$AD23="Ламінат",$F23=19),$AP23*Прайс!$I$19,IF(AND($AB23="Матове",$AC23="Закрита пора",$AA23=2,$AD23="Ламінат",$F23=19),$AP23*Прайс!$I$20,IF(AND($AB23="Глянець",$AC23="Закрита пора",$AA23=1,$AD23="Ламінат",$F23=19),$AP23*Прайс!$I$21,IF(AND($AB23="Глянець",$AC23="Закрита пора",$AA23=2,$AD23="Ламінат",$F23=19),$AP23*Прайс!$I$22,IF(AND($AB23="Матове",$AC23="Відкрита пора",$AA23=1,$AD23="Матове",$AE23="Відкрита пора",$F23=19),$AP23*Прайс!$I$23,IF(AND($AB23="Матове",$AC23="Відкрита пора",$AA23=2,$AD23="Матове",$AE23="Відкрита пора",$F23=19),$AP23*Прайс!$I$24,IF(AND($AB23="Матове",$AC23="Закрита пора",$AA23=1,$AD23="Матове",$AE23="Відкрита пора",$F23=19),$AP23*Прайс!$I$25,IF(AND($AB23="Матове",$AC23="Закрита пора",$AA23=2,$AD23="Матове",$AE23="Відкрита пора",$F23=19),$AP23*Прайс!$I$26,IF(AND($AB23="Глянець",$AC23="Закрита пора",$AA23=1,$AD23="Матове",$AE23="Відкрита пора",$F23=19),$AP23*Прайс!$I$27,IF(AND($AB23="Глянець",$AC23="Закрита пора",$AA23=2,$AD23="Матове",$AE23="Відкрита пора",$F23=19),$AP23*Прайс!$I$28,0)))))))))))))</f>
        <v>0</v>
      </c>
      <c r="AJ23" s="210" t="str">
        <f>IF(Бланк!$AD23="","",Бланк!$AD23*E23)</f>
        <v/>
      </c>
      <c r="AK23" s="213" t="str">
        <f>IF(OR($AJ23=0,$AJ23=""),"",$AJ23*Прайс!$J$47)</f>
        <v/>
      </c>
      <c r="AL23" s="217"/>
      <c r="AM23" s="218"/>
      <c r="AN23" s="218"/>
      <c r="AO23" s="218"/>
      <c r="AP23" s="107">
        <f t="shared" si="1"/>
        <v>0</v>
      </c>
    </row>
    <row r="24" spans="1:43" s="207" customFormat="1" ht="20.25" x14ac:dyDescent="0.2">
      <c r="B24" s="219">
        <v>4</v>
      </c>
      <c r="C24" s="209">
        <f>Бланк!C24</f>
        <v>0</v>
      </c>
      <c r="D24" s="209">
        <f>Бланк!D24</f>
        <v>0</v>
      </c>
      <c r="E24" s="209">
        <f>Бланк!E24</f>
        <v>0</v>
      </c>
      <c r="F24" s="209">
        <f>Бланк!F24</f>
        <v>0</v>
      </c>
      <c r="G24" s="209"/>
      <c r="H24" s="212"/>
      <c r="I24" s="210" t="str">
        <f>IF(Бланк!$I24="","",Бланк!$I24)</f>
        <v/>
      </c>
      <c r="J24" s="211" t="str">
        <f>IF(OR($C24="",$C24=0),"",IF($I24="Пряма з чвертю",(Прайс!$J$42+Прайс!$J$44)*Просчёт!$E24,IF($I24="Пряма без чверті",Просчёт!$E24*Прайс!$J$42,"")))</f>
        <v/>
      </c>
      <c r="K24" s="210" t="str">
        <f>IF(Бланк!$K24="","",Бланк!$K24)</f>
        <v/>
      </c>
      <c r="L24" s="212" t="str">
        <f>IF(Бланк!$J24="","",Бланк!$J24/1000)</f>
        <v/>
      </c>
      <c r="M24" s="213" t="str">
        <f t="shared" si="0"/>
        <v/>
      </c>
      <c r="N24" s="213" t="str">
        <f>IF($K24="","",IF(OR($K24="J № 1",$K24="J № 2",$K24="J № 2L",$K24="J № 2R",$K24="AJ № 2",$K24="AJ № 2L",$K24="AJ № 2R",$K24="U",$K24="V"),$L24*$E24*Прайс!$J$45,IF(OR($K24="AJ № 3R",$K24="AJ № 4R",$K24="AJ № 5R",$K24="AJ № 3L",$K24="AJ № 4L",$K24="AJ № 5L",$K24="AJ № 3",$K24="AJ № 4",$K24="AJ № 5",$K24="J № 3",$K24="J № 4",$K24="J № 5",$K24="J № 6",$K24="J № 7",$K24="L",$K24="AL"),Прайс!$J$45*$E24,IF(OR($K24="J № 3L",$K24="J № 3R",$K24="J № 4L",$K24="J № 4R",$K24="J № 5L",$K24="J № 5R"),$L24/2*Прайс!$J$45*$E24,IF($K24="45 град.",$L24*Прайс!$J$50*$E24,0)))))</f>
        <v/>
      </c>
      <c r="O24" s="210" t="str">
        <f>IF(Бланк!$L24="","",Бланк!$L24)</f>
        <v/>
      </c>
      <c r="P24" s="210" t="str">
        <f>IF(Бланк!$M24="","",Бланк!$M24)</f>
        <v/>
      </c>
      <c r="Q24" s="214"/>
      <c r="R24" s="215"/>
      <c r="S24" s="210" t="str">
        <f>IF(Бланк!$P24="","",Бланк!$P24)</f>
        <v/>
      </c>
      <c r="T24" s="209" t="str">
        <f>IF($S24="","",VLOOKUP($S24,Лист1!$S$5:$T$32,2,FALSE))</f>
        <v/>
      </c>
      <c r="U24" s="215"/>
      <c r="V24" s="212"/>
      <c r="W24" s="212"/>
      <c r="X24" s="212"/>
      <c r="Y24" s="212"/>
      <c r="Z24" s="209"/>
      <c r="AA24" s="209" t="e">
        <f>VLOOKUP($S24,Прайс!$C$62:$E$90,3,FALSE)</f>
        <v>#N/A</v>
      </c>
      <c r="AB24" s="210" t="str">
        <f>IF(Бланк!$X24="","",Бланк!$X24)</f>
        <v/>
      </c>
      <c r="AC24" s="210" t="str">
        <f>IF(Бланк!$Y24="","",Бланк!$Y24)</f>
        <v/>
      </c>
      <c r="AD24" s="210" t="str">
        <f>IF(Бланк!$Z24="","",Бланк!$Z24)</f>
        <v/>
      </c>
      <c r="AE24" s="210" t="str">
        <f>IF(Бланк!$AA24="","",Бланк!$AA24)</f>
        <v/>
      </c>
      <c r="AF24" s="212"/>
      <c r="AG24" s="216"/>
      <c r="AH24" s="211">
        <f>IF(OR($C24=0,$C24=""),0,IF(AND($AB24="Матове",$AC24="Відкрита пора",$AA24=1,$AD24="Ламінат",OR($F24=4,$F24=6,$F24=8,$F24=10,$F24=16)),$AP24*Прайс!$G$17,IF(AND($AB24="Матове",$AC24="Відкрита пора",$AA24=2,$AD24="Ламінат",OR($F24=4,$F24=6,$F24=8,$F24=10,$F24=16)),$AP24*Прайс!$G$18,IF(AND($AB24="Матове",$AC24="Закрита пора",$AA24=1,$AD24="Ламінат",OR($F24=4,$F24=6,$F24=8,$F24=10,$F24=16)),$AP24*Прайс!$G$19,IF(AND($AB24="Матове",$AC24="Закрита пора",$AA24=2,$AD24="Ламінат",OR($F24=4,$F24=6,$F24=8,$F24=10,$F24=16)),$AP24*Прайс!$G$20,IF(AND($AB24="Глянець",$AC24="Закрита пора",$AA24=1,$AD24="Ламінат",OR($F24=4,$F24=6,$F24=8,$F24=10,$F24=16)),$AP24*Прайс!$G$21,IF(AND($AB24="Глянець",$AC24="Закрита пора",$AA24=2,$AD24="Ламінат",OR($F24=4,$F24=6,$F24=8,$F24=10,$F24=16)),$AP24*Прайс!$G$22,IF(AND($AB24="Матове",$AC24="Відкрита пора",$AA24=1,$AD24="Матове",$AE24="Відкрита пора",OR($F24=4,$F24=6,$F24=8,$F24=10,$F24=16)),$AP24*Прайс!$G$23,IF(AND($AB24="Матове",$AC24="Відкрита пора",$AA24=2,$AD24="Матове",$AE24="Відкрита пора",OR($F24=4,$F24=6,$F24=8,$F24=10,$F24=16)),$AP24*Прайс!$G$24,IF(AND($AB24="Матове",$AC24="Закрита пора",$AA24=1,$AD24="Матове",$AE24="Відкрита пора",OR($F24=4,$F24=6,$F24=8,$F24=10,$F24=16)),$AP24*Прайс!$G$25,IF(AND($AB24="Матове",$AC24="Закрита пора",$AA24=2,$AD24="Матове",$AE24="Відкрита пора",OR($F24=4,$F24=6,$F24=8,$F24=10,$F24=16)),$AP24*Прайс!$G$26,IF(AND($AB24="Глянець",$AC24="Закрита пора",$AA24=1,$AD24="Матове",$AE24="Відкрита пора",OR($F24=4,$F24=6,$F24=8,$F24=10,$F24=16)),$AP24*Прайс!$G$27,IF(AND($AB24="Глянець",$AC24="Закрита пора",$AA24=2,$AD24="Матове",$AE24="Відкрита пора",OR($F24=4,$F24=6,$F24=8,$F24=10,$F24=16)),$AP24*Прайс!$G$28,0)))))))))))))</f>
        <v>0</v>
      </c>
      <c r="AI24" s="211">
        <f>IF(OR($C24=0,$C24=""),0,IF(AND($AB24="Матове",$AC24="Відкрита пора",$AA24=1,$AD24="Ламінат",$F24=19),$AP24*Прайс!$I$17,IF(AND($AB24="Матове",$AC24="Відкрита пора",$AA24=2,$AD24="Ламінат",$F24=19),$AP24*Прайс!$I$18,IF(AND($AB24="Матове",$AC24="Закрита пора",$AA24=1,$AD24="Ламінат",$F24=19),$AP24*Прайс!$I$19,IF(AND($AB24="Матове",$AC24="Закрита пора",$AA24=2,$AD24="Ламінат",$F24=19),$AP24*Прайс!$I$20,IF(AND($AB24="Глянець",$AC24="Закрита пора",$AA24=1,$AD24="Ламінат",$F24=19),$AP24*Прайс!$I$21,IF(AND($AB24="Глянець",$AC24="Закрита пора",$AA24=2,$AD24="Ламінат",$F24=19),$AP24*Прайс!$I$22,IF(AND($AB24="Матове",$AC24="Відкрита пора",$AA24=1,$AD24="Матове",$AE24="Відкрита пора",$F24=19),$AP24*Прайс!$I$23,IF(AND($AB24="Матове",$AC24="Відкрита пора",$AA24=2,$AD24="Матове",$AE24="Відкрита пора",$F24=19),$AP24*Прайс!$I$24,IF(AND($AB24="Матове",$AC24="Закрита пора",$AA24=1,$AD24="Матове",$AE24="Відкрита пора",$F24=19),$AP24*Прайс!$I$25,IF(AND($AB24="Матове",$AC24="Закрита пора",$AA24=2,$AD24="Матове",$AE24="Відкрита пора",$F24=19),$AP24*Прайс!$I$26,IF(AND($AB24="Глянець",$AC24="Закрита пора",$AA24=1,$AD24="Матове",$AE24="Відкрита пора",$F24=19),$AP24*Прайс!$I$27,IF(AND($AB24="Глянець",$AC24="Закрита пора",$AA24=2,$AD24="Матове",$AE24="Відкрита пора",$F24=19),$AP24*Прайс!$I$28,0)))))))))))))</f>
        <v>0</v>
      </c>
      <c r="AJ24" s="210" t="str">
        <f>IF(Бланк!$AD24="","",Бланк!$AD24*E24)</f>
        <v/>
      </c>
      <c r="AK24" s="213" t="str">
        <f>IF(OR($AJ24=0,$AJ24=""),"",$AJ24*Прайс!$J$47)</f>
        <v/>
      </c>
      <c r="AL24" s="217"/>
      <c r="AM24" s="218"/>
      <c r="AN24" s="218"/>
      <c r="AO24" s="218"/>
      <c r="AP24" s="107">
        <f t="shared" si="1"/>
        <v>0</v>
      </c>
    </row>
    <row r="25" spans="1:43" s="207" customFormat="1" ht="20.25" x14ac:dyDescent="0.2">
      <c r="B25" s="219">
        <v>5</v>
      </c>
      <c r="C25" s="209">
        <f>Бланк!C25</f>
        <v>0</v>
      </c>
      <c r="D25" s="209">
        <f>Бланк!D25</f>
        <v>0</v>
      </c>
      <c r="E25" s="209">
        <f>Бланк!E25</f>
        <v>0</v>
      </c>
      <c r="F25" s="209">
        <f>Бланк!F25</f>
        <v>0</v>
      </c>
      <c r="G25" s="209"/>
      <c r="H25" s="212"/>
      <c r="I25" s="210" t="str">
        <f>IF(Бланк!$I25="","",Бланк!$I25)</f>
        <v/>
      </c>
      <c r="J25" s="211" t="str">
        <f>IF(OR($C25="",$C25=0),"",IF($I25="Пряма з чвертю",(Прайс!$J$42+Прайс!$J$44)*Просчёт!$E25,IF($I25="Пряма без чверті",Просчёт!$E25*Прайс!$J$42,"")))</f>
        <v/>
      </c>
      <c r="K25" s="210" t="str">
        <f>IF(Бланк!$K25="","",Бланк!$K25)</f>
        <v/>
      </c>
      <c r="L25" s="212" t="str">
        <f>IF(Бланк!$J25="","",Бланк!$J25/1000)</f>
        <v/>
      </c>
      <c r="M25" s="213" t="str">
        <f t="shared" si="0"/>
        <v/>
      </c>
      <c r="N25" s="213" t="str">
        <f>IF($K25="","",IF(OR($K25="J № 1",$K25="J № 2",$K25="J № 2L",$K25="J № 2R",$K25="AJ № 2",$K25="AJ № 2L",$K25="AJ № 2R",$K25="U",$K25="V"),$L25*$E25*Прайс!$J$45,IF(OR($K25="AJ № 3R",$K25="AJ № 4R",$K25="AJ № 5R",$K25="AJ № 3L",$K25="AJ № 4L",$K25="AJ № 5L",$K25="AJ № 3",$K25="AJ № 4",$K25="AJ № 5",$K25="J № 3",$K25="J № 4",$K25="J № 5",$K25="J № 6",$K25="J № 7",$K25="L",$K25="AL"),Прайс!$J$45*$E25,IF(OR($K25="J № 3L",$K25="J № 3R",$K25="J № 4L",$K25="J № 4R",$K25="J № 5L",$K25="J № 5R"),$L25/2*Прайс!$J$45*$E25,IF($K25="45 град.",$L25*Прайс!$J$50*$E25,0)))))</f>
        <v/>
      </c>
      <c r="O25" s="210" t="str">
        <f>IF(Бланк!$L25="","",Бланк!$L25)</f>
        <v/>
      </c>
      <c r="P25" s="210" t="str">
        <f>IF(Бланк!$M25="","",Бланк!$M25)</f>
        <v/>
      </c>
      <c r="Q25" s="214"/>
      <c r="R25" s="215"/>
      <c r="S25" s="210" t="str">
        <f>IF(Бланк!$P25="","",Бланк!$P25)</f>
        <v/>
      </c>
      <c r="T25" s="209"/>
      <c r="U25" s="215"/>
      <c r="V25" s="212"/>
      <c r="W25" s="212"/>
      <c r="X25" s="212"/>
      <c r="Y25" s="212"/>
      <c r="Z25" s="209"/>
      <c r="AA25" s="209" t="e">
        <f>VLOOKUP($S25,Прайс!$C$62:$E$90,3,FALSE)</f>
        <v>#N/A</v>
      </c>
      <c r="AB25" s="210" t="str">
        <f>IF(Бланк!$X25="","",Бланк!$X25)</f>
        <v/>
      </c>
      <c r="AC25" s="210" t="str">
        <f>IF(Бланк!$Y25="","",Бланк!$Y25)</f>
        <v/>
      </c>
      <c r="AD25" s="210" t="str">
        <f>IF(Бланк!$Z25="","",Бланк!$Z25)</f>
        <v/>
      </c>
      <c r="AE25" s="210" t="str">
        <f>IF(Бланк!$AA25="","",Бланк!$AA25)</f>
        <v/>
      </c>
      <c r="AF25" s="212"/>
      <c r="AG25" s="216"/>
      <c r="AH25" s="211">
        <f>IF(OR($C25=0,$C25=""),0,IF(AND($AB25="Матове",$AC25="Відкрита пора",$AA25=1,$AD25="Ламінат",OR($F25=4,$F25=6,$F25=8,$F25=10,$F25=16)),$AP25*Прайс!$G$17,IF(AND($AB25="Матове",$AC25="Відкрита пора",$AA25=2,$AD25="Ламінат",OR($F25=4,$F25=6,$F25=8,$F25=10,$F25=16)),$AP25*Прайс!$G$18,IF(AND($AB25="Матове",$AC25="Закрита пора",$AA25=1,$AD25="Ламінат",OR($F25=4,$F25=6,$F25=8,$F25=10,$F25=16)),$AP25*Прайс!$G$19,IF(AND($AB25="Матове",$AC25="Закрита пора",$AA25=2,$AD25="Ламінат",OR($F25=4,$F25=6,$F25=8,$F25=10,$F25=16)),$AP25*Прайс!$G$20,IF(AND($AB25="Глянець",$AC25="Закрита пора",$AA25=1,$AD25="Ламінат",OR($F25=4,$F25=6,$F25=8,$F25=10,$F25=16)),$AP25*Прайс!$G$21,IF(AND($AB25="Глянець",$AC25="Закрита пора",$AA25=2,$AD25="Ламінат",OR($F25=4,$F25=6,$F25=8,$F25=10,$F25=16)),$AP25*Прайс!$G$22,IF(AND($AB25="Матове",$AC25="Відкрита пора",$AA25=1,$AD25="Матове",$AE25="Відкрита пора",OR($F25=4,$F25=6,$F25=8,$F25=10,$F25=16)),$AP25*Прайс!$G$23,IF(AND($AB25="Матове",$AC25="Відкрита пора",$AA25=2,$AD25="Матове",$AE25="Відкрита пора",OR($F25=4,$F25=6,$F25=8,$F25=10,$F25=16)),$AP25*Прайс!$G$24,IF(AND($AB25="Матове",$AC25="Закрита пора",$AA25=1,$AD25="Матове",$AE25="Відкрита пора",OR($F25=4,$F25=6,$F25=8,$F25=10,$F25=16)),$AP25*Прайс!$G$25,IF(AND($AB25="Матове",$AC25="Закрита пора",$AA25=2,$AD25="Матове",$AE25="Відкрита пора",OR($F25=4,$F25=6,$F25=8,$F25=10,$F25=16)),$AP25*Прайс!$G$26,IF(AND($AB25="Глянець",$AC25="Закрита пора",$AA25=1,$AD25="Матове",$AE25="Відкрита пора",OR($F25=4,$F25=6,$F25=8,$F25=10,$F25=16)),$AP25*Прайс!$G$27,IF(AND($AB25="Глянець",$AC25="Закрита пора",$AA25=2,$AD25="Матове",$AE25="Відкрита пора",OR($F25=4,$F25=6,$F25=8,$F25=10,$F25=16)),$AP25*Прайс!$G$28,0)))))))))))))</f>
        <v>0</v>
      </c>
      <c r="AI25" s="211">
        <f>IF(OR($C25=0,$C25=""),0,IF(AND($AB25="Матове",$AC25="Відкрита пора",$AA25=1,$AD25="Ламінат",$F25=19),$AP25*Прайс!$I$17,IF(AND($AB25="Матове",$AC25="Відкрита пора",$AA25=2,$AD25="Ламінат",$F25=19),$AP25*Прайс!$I$18,IF(AND($AB25="Матове",$AC25="Закрита пора",$AA25=1,$AD25="Ламінат",$F25=19),$AP25*Прайс!$I$19,IF(AND($AB25="Матове",$AC25="Закрита пора",$AA25=2,$AD25="Ламінат",$F25=19),$AP25*Прайс!$I$20,IF(AND($AB25="Глянець",$AC25="Закрита пора",$AA25=1,$AD25="Ламінат",$F25=19),$AP25*Прайс!$I$21,IF(AND($AB25="Глянець",$AC25="Закрита пора",$AA25=2,$AD25="Ламінат",$F25=19),$AP25*Прайс!$I$22,IF(AND($AB25="Матове",$AC25="Відкрита пора",$AA25=1,$AD25="Матове",$AE25="Відкрита пора",$F25=19),$AP25*Прайс!$I$23,IF(AND($AB25="Матове",$AC25="Відкрита пора",$AA25=2,$AD25="Матове",$AE25="Відкрита пора",$F25=19),$AP25*Прайс!$I$24,IF(AND($AB25="Матове",$AC25="Закрита пора",$AA25=1,$AD25="Матове",$AE25="Відкрита пора",$F25=19),$AP25*Прайс!$I$25,IF(AND($AB25="Матове",$AC25="Закрита пора",$AA25=2,$AD25="Матове",$AE25="Відкрита пора",$F25=19),$AP25*Прайс!$I$26,IF(AND($AB25="Глянець",$AC25="Закрита пора",$AA25=1,$AD25="Матове",$AE25="Відкрита пора",$F25=19),$AP25*Прайс!$I$27,IF(AND($AB25="Глянець",$AC25="Закрита пора",$AA25=2,$AD25="Матове",$AE25="Відкрита пора",$F25=19),$AP25*Прайс!$I$28,0)))))))))))))</f>
        <v>0</v>
      </c>
      <c r="AJ25" s="210" t="str">
        <f>IF(Бланк!$AD25="","",Бланк!$AD25*E25)</f>
        <v/>
      </c>
      <c r="AK25" s="213" t="str">
        <f>IF(OR($AJ25=0,$AJ25=""),"",$AJ25*Прайс!$J$47)</f>
        <v/>
      </c>
      <c r="AL25" s="217"/>
      <c r="AM25" s="218"/>
      <c r="AN25" s="218"/>
      <c r="AO25" s="218"/>
      <c r="AP25" s="107">
        <f t="shared" si="1"/>
        <v>0</v>
      </c>
    </row>
    <row r="26" spans="1:43" s="207" customFormat="1" ht="20.25" x14ac:dyDescent="0.2">
      <c r="B26" s="219">
        <v>6</v>
      </c>
      <c r="C26" s="209">
        <f>Бланк!C26</f>
        <v>0</v>
      </c>
      <c r="D26" s="209">
        <f>Бланк!D26</f>
        <v>0</v>
      </c>
      <c r="E26" s="209">
        <f>Бланк!E26</f>
        <v>0</v>
      </c>
      <c r="F26" s="209">
        <f>Бланк!F26</f>
        <v>0</v>
      </c>
      <c r="G26" s="209"/>
      <c r="H26" s="212"/>
      <c r="I26" s="210" t="str">
        <f>IF(Бланк!$I26="","",Бланк!$I26)</f>
        <v/>
      </c>
      <c r="J26" s="211" t="str">
        <f>IF(OR($C26="",$C26=0),"",IF($I26="Пряма з чвертю",(Прайс!$J$42+Прайс!$J$44)*Просчёт!$E26,IF($I26="Пряма без чверті",Просчёт!$E26*Прайс!$J$42,"")))</f>
        <v/>
      </c>
      <c r="K26" s="210" t="str">
        <f>IF(Бланк!$K26="","",Бланк!$K26)</f>
        <v/>
      </c>
      <c r="L26" s="212" t="str">
        <f>IF(Бланк!$J26="","",Бланк!$J26/1000)</f>
        <v/>
      </c>
      <c r="M26" s="213" t="str">
        <f t="shared" si="0"/>
        <v/>
      </c>
      <c r="N26" s="213" t="str">
        <f>IF($K26="","",IF(OR($K26="J № 1",$K26="J № 2",$K26="J № 2L",$K26="J № 2R",$K26="AJ № 2",$K26="AJ № 2L",$K26="AJ № 2R",$K26="U",$K26="V"),$L26*$E26*Прайс!$J$45,IF(OR($K26="AJ № 3R",$K26="AJ № 4R",$K26="AJ № 5R",$K26="AJ № 3L",$K26="AJ № 4L",$K26="AJ № 5L",$K26="AJ № 3",$K26="AJ № 4",$K26="AJ № 5",$K26="J № 3",$K26="J № 4",$K26="J № 5",$K26="J № 6",$K26="J № 7",$K26="L",$K26="AL"),Прайс!$J$45*$E26,IF(OR($K26="J № 3L",$K26="J № 3R",$K26="J № 4L",$K26="J № 4R",$K26="J № 5L",$K26="J № 5R"),$L26/2*Прайс!$J$45*$E26,IF($K26="45 град.",$L26*Прайс!$J$50*$E26,0)))))</f>
        <v/>
      </c>
      <c r="O26" s="210" t="str">
        <f>IF(Бланк!$L26="","",Бланк!$L26)</f>
        <v/>
      </c>
      <c r="P26" s="210" t="str">
        <f>IF(Бланк!$M26="","",Бланк!$M26)</f>
        <v/>
      </c>
      <c r="Q26" s="214"/>
      <c r="R26" s="215"/>
      <c r="S26" s="210" t="str">
        <f>IF(Бланк!$P26="","",Бланк!$P26)</f>
        <v/>
      </c>
      <c r="T26" s="209" t="str">
        <f>IF($S26="","",VLOOKUP($S26,Лист1!$S$5:$T$32,2,FALSE))</f>
        <v/>
      </c>
      <c r="U26" s="215"/>
      <c r="V26" s="212"/>
      <c r="W26" s="212"/>
      <c r="X26" s="212"/>
      <c r="Y26" s="212"/>
      <c r="Z26" s="209"/>
      <c r="AA26" s="209" t="e">
        <f>VLOOKUP($S26,Прайс!$C$62:$E$90,3,FALSE)</f>
        <v>#N/A</v>
      </c>
      <c r="AB26" s="210" t="str">
        <f>IF(Бланк!$X26="","",Бланк!$X26)</f>
        <v/>
      </c>
      <c r="AC26" s="210" t="str">
        <f>IF(Бланк!$Y26="","",Бланк!$Y26)</f>
        <v/>
      </c>
      <c r="AD26" s="210" t="str">
        <f>IF(Бланк!$Z26="","",Бланк!$Z26)</f>
        <v/>
      </c>
      <c r="AE26" s="210" t="str">
        <f>IF(Бланк!$AA26="","",Бланк!$AA26)</f>
        <v/>
      </c>
      <c r="AF26" s="212"/>
      <c r="AG26" s="216"/>
      <c r="AH26" s="211">
        <f>IF(OR($C26=0,$C26=""),0,IF(AND($AB26="Матове",$AC26="Відкрита пора",$AA26=1,$AD26="Ламінат",OR($F26=4,$F26=6,$F26=8,$F26=10,$F26=16)),$AP26*Прайс!$G$17,IF(AND($AB26="Матове",$AC26="Відкрита пора",$AA26=2,$AD26="Ламінат",OR($F26=4,$F26=6,$F26=8,$F26=10,$F26=16)),$AP26*Прайс!$G$18,IF(AND($AB26="Матове",$AC26="Закрита пора",$AA26=1,$AD26="Ламінат",OR($F26=4,$F26=6,$F26=8,$F26=10,$F26=16)),$AP26*Прайс!$G$19,IF(AND($AB26="Матове",$AC26="Закрита пора",$AA26=2,$AD26="Ламінат",OR($F26=4,$F26=6,$F26=8,$F26=10,$F26=16)),$AP26*Прайс!$G$20,IF(AND($AB26="Глянець",$AC26="Закрита пора",$AA26=1,$AD26="Ламінат",OR($F26=4,$F26=6,$F26=8,$F26=10,$F26=16)),$AP26*Прайс!$G$21,IF(AND($AB26="Глянець",$AC26="Закрита пора",$AA26=2,$AD26="Ламінат",OR($F26=4,$F26=6,$F26=8,$F26=10,$F26=16)),$AP26*Прайс!$G$22,IF(AND($AB26="Матове",$AC26="Відкрита пора",$AA26=1,$AD26="Матове",$AE26="Відкрита пора",OR($F26=4,$F26=6,$F26=8,$F26=10,$F26=16)),$AP26*Прайс!$G$23,IF(AND($AB26="Матове",$AC26="Відкрита пора",$AA26=2,$AD26="Матове",$AE26="Відкрита пора",OR($F26=4,$F26=6,$F26=8,$F26=10,$F26=16)),$AP26*Прайс!$G$24,IF(AND($AB26="Матове",$AC26="Закрита пора",$AA26=1,$AD26="Матове",$AE26="Відкрита пора",OR($F26=4,$F26=6,$F26=8,$F26=10,$F26=16)),$AP26*Прайс!$G$25,IF(AND($AB26="Матове",$AC26="Закрита пора",$AA26=2,$AD26="Матове",$AE26="Відкрита пора",OR($F26=4,$F26=6,$F26=8,$F26=10,$F26=16)),$AP26*Прайс!$G$26,IF(AND($AB26="Глянець",$AC26="Закрита пора",$AA26=1,$AD26="Матове",$AE26="Відкрита пора",OR($F26=4,$F26=6,$F26=8,$F26=10,$F26=16)),$AP26*Прайс!$G$27,IF(AND($AB26="Глянець",$AC26="Закрита пора",$AA26=2,$AD26="Матове",$AE26="Відкрита пора",OR($F26=4,$F26=6,$F26=8,$F26=10,$F26=16)),$AP26*Прайс!$G$28,0)))))))))))))</f>
        <v>0</v>
      </c>
      <c r="AI26" s="211">
        <f>IF(OR($C26=0,$C26=""),0,IF(AND($AB26="Матове",$AC26="Відкрита пора",$AA26=1,$AD26="Ламінат",$F26=19),$AP26*Прайс!$I$17,IF(AND($AB26="Матове",$AC26="Відкрита пора",$AA26=2,$AD26="Ламінат",$F26=19),$AP26*Прайс!$I$18,IF(AND($AB26="Матове",$AC26="Закрита пора",$AA26=1,$AD26="Ламінат",$F26=19),$AP26*Прайс!$I$19,IF(AND($AB26="Матове",$AC26="Закрита пора",$AA26=2,$AD26="Ламінат",$F26=19),$AP26*Прайс!$I$20,IF(AND($AB26="Глянець",$AC26="Закрита пора",$AA26=1,$AD26="Ламінат",$F26=19),$AP26*Прайс!$I$21,IF(AND($AB26="Глянець",$AC26="Закрита пора",$AA26=2,$AD26="Ламінат",$F26=19),$AP26*Прайс!$I$22,IF(AND($AB26="Матове",$AC26="Відкрита пора",$AA26=1,$AD26="Матове",$AE26="Відкрита пора",$F26=19),$AP26*Прайс!$I$23,IF(AND($AB26="Матове",$AC26="Відкрита пора",$AA26=2,$AD26="Матове",$AE26="Відкрита пора",$F26=19),$AP26*Прайс!$I$24,IF(AND($AB26="Матове",$AC26="Закрита пора",$AA26=1,$AD26="Матове",$AE26="Відкрита пора",$F26=19),$AP26*Прайс!$I$25,IF(AND($AB26="Матове",$AC26="Закрита пора",$AA26=2,$AD26="Матове",$AE26="Відкрита пора",$F26=19),$AP26*Прайс!$I$26,IF(AND($AB26="Глянець",$AC26="Закрита пора",$AA26=1,$AD26="Матове",$AE26="Відкрита пора",$F26=19),$AP26*Прайс!$I$27,IF(AND($AB26="Глянець",$AC26="Закрита пора",$AA26=2,$AD26="Матове",$AE26="Відкрита пора",$F26=19),$AP26*Прайс!$I$28,0)))))))))))))</f>
        <v>0</v>
      </c>
      <c r="AJ26" s="210" t="str">
        <f>IF(Бланк!$AD26="","",Бланк!$AD26*E26)</f>
        <v/>
      </c>
      <c r="AK26" s="213" t="str">
        <f>IF(OR($AJ26=0,$AJ26=""),"",$AJ26*Прайс!$J$47)</f>
        <v/>
      </c>
      <c r="AL26" s="217"/>
      <c r="AM26" s="220"/>
      <c r="AN26" s="220"/>
      <c r="AO26" s="218"/>
      <c r="AP26" s="107">
        <f t="shared" si="1"/>
        <v>0</v>
      </c>
    </row>
    <row r="27" spans="1:43" s="221" customFormat="1" ht="20.25" x14ac:dyDescent="0.3">
      <c r="B27" s="219">
        <v>7</v>
      </c>
      <c r="C27" s="209">
        <f>Бланк!C27</f>
        <v>0</v>
      </c>
      <c r="D27" s="209">
        <f>Бланк!D27</f>
        <v>0</v>
      </c>
      <c r="E27" s="209">
        <f>Бланк!E27</f>
        <v>0</v>
      </c>
      <c r="F27" s="209">
        <f>Бланк!F27</f>
        <v>0</v>
      </c>
      <c r="G27" s="209"/>
      <c r="H27" s="212"/>
      <c r="I27" s="210" t="str">
        <f>IF(Бланк!$I27="","",Бланк!$I27)</f>
        <v/>
      </c>
      <c r="J27" s="211" t="str">
        <f>IF(OR($C27="",$C27=0),"",IF($I27="Пряма з чвертю",(Прайс!$J$42+Прайс!$J$44)*Просчёт!$E27,IF($I27="Пряма без чверті",Просчёт!$E27*Прайс!$J$42,"")))</f>
        <v/>
      </c>
      <c r="K27" s="210" t="str">
        <f>IF(Бланк!$K27="","",Бланк!$K27)</f>
        <v/>
      </c>
      <c r="L27" s="212" t="str">
        <f>IF(Бланк!$J27="","",Бланк!$J27/1000)</f>
        <v/>
      </c>
      <c r="M27" s="213" t="str">
        <f t="shared" si="0"/>
        <v/>
      </c>
      <c r="N27" s="213" t="str">
        <f>IF($K27="","",IF(OR($K27="J № 1",$K27="J № 2",$K27="J № 2L",$K27="J № 2R",$K27="AJ № 2",$K27="AJ № 2L",$K27="AJ № 2R",$K27="U",$K27="V"),$L27*$E27*Прайс!$J$45,IF(OR($K27="AJ № 3R",$K27="AJ № 4R",$K27="AJ № 5R",$K27="AJ № 3L",$K27="AJ № 4L",$K27="AJ № 5L",$K27="AJ № 3",$K27="AJ № 4",$K27="AJ № 5",$K27="J № 3",$K27="J № 4",$K27="J № 5",$K27="J № 6",$K27="J № 7",$K27="L",$K27="AL"),Прайс!$J$45*$E27,IF(OR($K27="J № 3L",$K27="J № 3R",$K27="J № 4L",$K27="J № 4R",$K27="J № 5L",$K27="J № 5R"),$L27/2*Прайс!$J$45*$E27,IF($K27="45 град.",$L27*Прайс!$J$50*$E27,0)))))</f>
        <v/>
      </c>
      <c r="O27" s="210" t="str">
        <f>IF(Бланк!$L27="","",Бланк!$L27)</f>
        <v/>
      </c>
      <c r="P27" s="210" t="str">
        <f>IF(Бланк!$M27="","",Бланк!$M27)</f>
        <v/>
      </c>
      <c r="Q27" s="214"/>
      <c r="R27" s="215"/>
      <c r="S27" s="210" t="str">
        <f>IF(Бланк!$P27="","",Бланк!$P27)</f>
        <v/>
      </c>
      <c r="T27" s="209" t="str">
        <f>IF($S27="","",VLOOKUP($S27,Лист1!$S$5:$T$32,2,FALSE))</f>
        <v/>
      </c>
      <c r="U27" s="215"/>
      <c r="V27" s="212"/>
      <c r="W27" s="212"/>
      <c r="X27" s="212"/>
      <c r="Y27" s="212"/>
      <c r="Z27" s="209"/>
      <c r="AA27" s="209" t="e">
        <f>VLOOKUP($S27,Прайс!$C$62:$E$90,3,FALSE)</f>
        <v>#N/A</v>
      </c>
      <c r="AB27" s="210" t="str">
        <f>IF(Бланк!$X27="","",Бланк!$X27)</f>
        <v/>
      </c>
      <c r="AC27" s="210" t="str">
        <f>IF(Бланк!$Y27="","",Бланк!$Y27)</f>
        <v/>
      </c>
      <c r="AD27" s="210" t="str">
        <f>IF(Бланк!$Z27="","",Бланк!$Z27)</f>
        <v/>
      </c>
      <c r="AE27" s="210" t="str">
        <f>IF(Бланк!$AA27="","",Бланк!$AA27)</f>
        <v/>
      </c>
      <c r="AF27" s="212"/>
      <c r="AG27" s="216"/>
      <c r="AH27" s="211">
        <f>IF(OR($C27=0,$C27=""),0,IF(AND($AB27="Матове",$AC27="Відкрита пора",$AA27=1,$AD27="Ламінат",OR($F27=4,$F27=6,$F27=8,$F27=10,$F27=16)),$AP27*Прайс!$G$17,IF(AND($AB27="Матове",$AC27="Відкрита пора",$AA27=2,$AD27="Ламінат",OR($F27=4,$F27=6,$F27=8,$F27=10,$F27=16)),$AP27*Прайс!$G$18,IF(AND($AB27="Матове",$AC27="Закрита пора",$AA27=1,$AD27="Ламінат",OR($F27=4,$F27=6,$F27=8,$F27=10,$F27=16)),$AP27*Прайс!$G$19,IF(AND($AB27="Матове",$AC27="Закрита пора",$AA27=2,$AD27="Ламінат",OR($F27=4,$F27=6,$F27=8,$F27=10,$F27=16)),$AP27*Прайс!$G$20,IF(AND($AB27="Глянець",$AC27="Закрита пора",$AA27=1,$AD27="Ламінат",OR($F27=4,$F27=6,$F27=8,$F27=10,$F27=16)),$AP27*Прайс!$G$21,IF(AND($AB27="Глянець",$AC27="Закрита пора",$AA27=2,$AD27="Ламінат",OR($F27=4,$F27=6,$F27=8,$F27=10,$F27=16)),$AP27*Прайс!$G$22,IF(AND($AB27="Матове",$AC27="Відкрита пора",$AA27=1,$AD27="Матове",$AE27="Відкрита пора",OR($F27=4,$F27=6,$F27=8,$F27=10,$F27=16)),$AP27*Прайс!$G$23,IF(AND($AB27="Матове",$AC27="Відкрита пора",$AA27=2,$AD27="Матове",$AE27="Відкрита пора",OR($F27=4,$F27=6,$F27=8,$F27=10,$F27=16)),$AP27*Прайс!$G$24,IF(AND($AB27="Матове",$AC27="Закрита пора",$AA27=1,$AD27="Матове",$AE27="Відкрита пора",OR($F27=4,$F27=6,$F27=8,$F27=10,$F27=16)),$AP27*Прайс!$G$25,IF(AND($AB27="Матове",$AC27="Закрита пора",$AA27=2,$AD27="Матове",$AE27="Відкрита пора",OR($F27=4,$F27=6,$F27=8,$F27=10,$F27=16)),$AP27*Прайс!$G$26,IF(AND($AB27="Глянець",$AC27="Закрита пора",$AA27=1,$AD27="Матове",$AE27="Відкрита пора",OR($F27=4,$F27=6,$F27=8,$F27=10,$F27=16)),$AP27*Прайс!$G$27,IF(AND($AB27="Глянець",$AC27="Закрита пора",$AA27=2,$AD27="Матове",$AE27="Відкрита пора",OR($F27=4,$F27=6,$F27=8,$F27=10,$F27=16)),$AP27*Прайс!$G$28,0)))))))))))))</f>
        <v>0</v>
      </c>
      <c r="AI27" s="211">
        <f>IF(OR($C27=0,$C27=""),0,IF(AND($AB27="Матове",$AC27="Відкрита пора",$AA27=1,$AD27="Ламінат",$F27=19),$AP27*Прайс!$I$17,IF(AND($AB27="Матове",$AC27="Відкрита пора",$AA27=2,$AD27="Ламінат",$F27=19),$AP27*Прайс!$I$18,IF(AND($AB27="Матове",$AC27="Закрита пора",$AA27=1,$AD27="Ламінат",$F27=19),$AP27*Прайс!$I$19,IF(AND($AB27="Матове",$AC27="Закрита пора",$AA27=2,$AD27="Ламінат",$F27=19),$AP27*Прайс!$I$20,IF(AND($AB27="Глянець",$AC27="Закрита пора",$AA27=1,$AD27="Ламінат",$F27=19),$AP27*Прайс!$I$21,IF(AND($AB27="Глянець",$AC27="Закрита пора",$AA27=2,$AD27="Ламінат",$F27=19),$AP27*Прайс!$I$22,IF(AND($AB27="Матове",$AC27="Відкрита пора",$AA27=1,$AD27="Матове",$AE27="Відкрита пора",$F27=19),$AP27*Прайс!$I$23,IF(AND($AB27="Матове",$AC27="Відкрита пора",$AA27=2,$AD27="Матове",$AE27="Відкрита пора",$F27=19),$AP27*Прайс!$I$24,IF(AND($AB27="Матове",$AC27="Закрита пора",$AA27=1,$AD27="Матове",$AE27="Відкрита пора",$F27=19),$AP27*Прайс!$I$25,IF(AND($AB27="Матове",$AC27="Закрита пора",$AA27=2,$AD27="Матове",$AE27="Відкрита пора",$F27=19),$AP27*Прайс!$I$26,IF(AND($AB27="Глянець",$AC27="Закрита пора",$AA27=1,$AD27="Матове",$AE27="Відкрита пора",$F27=19),$AP27*Прайс!$I$27,IF(AND($AB27="Глянець",$AC27="Закрита пора",$AA27=2,$AD27="Матове",$AE27="Відкрита пора",$F27=19),$AP27*Прайс!$I$28,0)))))))))))))</f>
        <v>0</v>
      </c>
      <c r="AJ27" s="210" t="str">
        <f>IF(Бланк!$AD27="","",Бланк!$AD27*E27)</f>
        <v/>
      </c>
      <c r="AK27" s="213" t="str">
        <f>IF(OR($AJ27=0,$AJ27=""),"",$AJ27*Прайс!$J$47)</f>
        <v/>
      </c>
      <c r="AL27" s="217"/>
      <c r="AM27" s="218"/>
      <c r="AN27" s="218"/>
      <c r="AO27" s="218"/>
      <c r="AP27" s="107">
        <f t="shared" si="1"/>
        <v>0</v>
      </c>
      <c r="AQ27" s="207"/>
    </row>
    <row r="28" spans="1:43" s="221" customFormat="1" ht="20.25" x14ac:dyDescent="0.3">
      <c r="B28" s="219">
        <v>8</v>
      </c>
      <c r="C28" s="209">
        <f>Бланк!C28</f>
        <v>0</v>
      </c>
      <c r="D28" s="209">
        <f>Бланк!D28</f>
        <v>0</v>
      </c>
      <c r="E28" s="209">
        <f>Бланк!E28</f>
        <v>0</v>
      </c>
      <c r="F28" s="209">
        <f>Бланк!F28</f>
        <v>0</v>
      </c>
      <c r="G28" s="209"/>
      <c r="H28" s="212"/>
      <c r="I28" s="210" t="str">
        <f>IF(Бланк!$I28="","",Бланк!$I28)</f>
        <v/>
      </c>
      <c r="J28" s="211" t="str">
        <f>IF(OR($C28="",$C28=0),"",IF($I28="Пряма з чвертю",(Прайс!$J$42+Прайс!$J$44)*Просчёт!$E28,IF($I28="Пряма без чверті",Просчёт!$E28*Прайс!$J$42,"")))</f>
        <v/>
      </c>
      <c r="K28" s="210" t="str">
        <f>IF(Бланк!$K28="","",Бланк!$K28)</f>
        <v/>
      </c>
      <c r="L28" s="212" t="str">
        <f>IF(Бланк!$J28="","",Бланк!$J28/1000)</f>
        <v/>
      </c>
      <c r="M28" s="213" t="str">
        <f t="shared" si="0"/>
        <v/>
      </c>
      <c r="N28" s="213" t="str">
        <f>IF($K28="","",IF(OR($K28="J № 1",$K28="J № 2",$K28="J № 2L",$K28="J № 2R",$K28="AJ № 2",$K28="AJ № 2L",$K28="AJ № 2R",$K28="U",$K28="V"),$L28*$E28*Прайс!$J$45,IF(OR($K28="AJ № 3R",$K28="AJ № 4R",$K28="AJ № 5R",$K28="AJ № 3L",$K28="AJ № 4L",$K28="AJ № 5L",$K28="AJ № 3",$K28="AJ № 4",$K28="AJ № 5",$K28="J № 3",$K28="J № 4",$K28="J № 5",$K28="J № 6",$K28="J № 7",$K28="L",$K28="AL"),Прайс!$J$45*$E28,IF(OR($K28="J № 3L",$K28="J № 3R",$K28="J № 4L",$K28="J № 4R",$K28="J № 5L",$K28="J № 5R"),$L28/2*Прайс!$J$45*$E28,IF($K28="45 град.",$L28*Прайс!$J$50*$E28,0)))))</f>
        <v/>
      </c>
      <c r="O28" s="210" t="str">
        <f>IF(Бланк!$L28="","",Бланк!$L28)</f>
        <v/>
      </c>
      <c r="P28" s="210" t="str">
        <f>IF(Бланк!$M28="","",Бланк!$M28)</f>
        <v/>
      </c>
      <c r="Q28" s="214"/>
      <c r="R28" s="215"/>
      <c r="S28" s="210" t="str">
        <f>IF(Бланк!$P28="","",Бланк!$P28)</f>
        <v/>
      </c>
      <c r="T28" s="209" t="str">
        <f>IF($S28="","",VLOOKUP($S28,Лист1!$S$5:$T$32,2,FALSE))</f>
        <v/>
      </c>
      <c r="U28" s="215"/>
      <c r="V28" s="212"/>
      <c r="W28" s="212"/>
      <c r="X28" s="212"/>
      <c r="Y28" s="212"/>
      <c r="Z28" s="209"/>
      <c r="AA28" s="209" t="e">
        <f>VLOOKUP($S28,Прайс!$C$62:$E$90,3,FALSE)</f>
        <v>#N/A</v>
      </c>
      <c r="AB28" s="210" t="str">
        <f>IF(Бланк!$X28="","",Бланк!$X28)</f>
        <v/>
      </c>
      <c r="AC28" s="210" t="str">
        <f>IF(Бланк!$Y28="","",Бланк!$Y28)</f>
        <v/>
      </c>
      <c r="AD28" s="210" t="str">
        <f>IF(Бланк!$Z28="","",Бланк!$Z28)</f>
        <v/>
      </c>
      <c r="AE28" s="210" t="str">
        <f>IF(Бланк!$AA28="","",Бланк!$AA28)</f>
        <v/>
      </c>
      <c r="AF28" s="212"/>
      <c r="AG28" s="216"/>
      <c r="AH28" s="211">
        <f>IF(OR($C28=0,$C28=""),0,IF(AND($AB28="Матове",$AC28="Відкрита пора",$AA28=1,$AD28="Ламінат",OR($F28=4,$F28=6,$F28=8,$F28=10,$F28=16)),$AP28*Прайс!$G$17,IF(AND($AB28="Матове",$AC28="Відкрита пора",$AA28=2,$AD28="Ламінат",OR($F28=4,$F28=6,$F28=8,$F28=10,$F28=16)),$AP28*Прайс!$G$18,IF(AND($AB28="Матове",$AC28="Закрита пора",$AA28=1,$AD28="Ламінат",OR($F28=4,$F28=6,$F28=8,$F28=10,$F28=16)),$AP28*Прайс!$G$19,IF(AND($AB28="Матове",$AC28="Закрита пора",$AA28=2,$AD28="Ламінат",OR($F28=4,$F28=6,$F28=8,$F28=10,$F28=16)),$AP28*Прайс!$G$20,IF(AND($AB28="Глянець",$AC28="Закрита пора",$AA28=1,$AD28="Ламінат",OR($F28=4,$F28=6,$F28=8,$F28=10,$F28=16)),$AP28*Прайс!$G$21,IF(AND($AB28="Глянець",$AC28="Закрита пора",$AA28=2,$AD28="Ламінат",OR($F28=4,$F28=6,$F28=8,$F28=10,$F28=16)),$AP28*Прайс!$G$22,IF(AND($AB28="Матове",$AC28="Відкрита пора",$AA28=1,$AD28="Матове",$AE28="Відкрита пора",OR($F28=4,$F28=6,$F28=8,$F28=10,$F28=16)),$AP28*Прайс!$G$23,IF(AND($AB28="Матове",$AC28="Відкрита пора",$AA28=2,$AD28="Матове",$AE28="Відкрита пора",OR($F28=4,$F28=6,$F28=8,$F28=10,$F28=16)),$AP28*Прайс!$G$24,IF(AND($AB28="Матове",$AC28="Закрита пора",$AA28=1,$AD28="Матове",$AE28="Відкрита пора",OR($F28=4,$F28=6,$F28=8,$F28=10,$F28=16)),$AP28*Прайс!$G$25,IF(AND($AB28="Матове",$AC28="Закрита пора",$AA28=2,$AD28="Матове",$AE28="Відкрита пора",OR($F28=4,$F28=6,$F28=8,$F28=10,$F28=16)),$AP28*Прайс!$G$26,IF(AND($AB28="Глянець",$AC28="Закрита пора",$AA28=1,$AD28="Матове",$AE28="Відкрита пора",OR($F28=4,$F28=6,$F28=8,$F28=10,$F28=16)),$AP28*Прайс!$G$27,IF(AND($AB28="Глянець",$AC28="Закрита пора",$AA28=2,$AD28="Матове",$AE28="Відкрита пора",OR($F28=4,$F28=6,$F28=8,$F28=10,$F28=16)),$AP28*Прайс!$G$28,0)))))))))))))</f>
        <v>0</v>
      </c>
      <c r="AI28" s="211">
        <f>IF(OR($C28=0,$C28=""),0,IF(AND($AB28="Матове",$AC28="Відкрита пора",$AA28=1,$AD28="Ламінат",$F28=19),$AP28*Прайс!$I$17,IF(AND($AB28="Матове",$AC28="Відкрита пора",$AA28=2,$AD28="Ламінат",$F28=19),$AP28*Прайс!$I$18,IF(AND($AB28="Матове",$AC28="Закрита пора",$AA28=1,$AD28="Ламінат",$F28=19),$AP28*Прайс!$I$19,IF(AND($AB28="Матове",$AC28="Закрита пора",$AA28=2,$AD28="Ламінат",$F28=19),$AP28*Прайс!$I$20,IF(AND($AB28="Глянець",$AC28="Закрита пора",$AA28=1,$AD28="Ламінат",$F28=19),$AP28*Прайс!$I$21,IF(AND($AB28="Глянець",$AC28="Закрита пора",$AA28=2,$AD28="Ламінат",$F28=19),$AP28*Прайс!$I$22,IF(AND($AB28="Матове",$AC28="Відкрита пора",$AA28=1,$AD28="Матове",$AE28="Відкрита пора",$F28=19),$AP28*Прайс!$I$23,IF(AND($AB28="Матове",$AC28="Відкрита пора",$AA28=2,$AD28="Матове",$AE28="Відкрита пора",$F28=19),$AP28*Прайс!$I$24,IF(AND($AB28="Матове",$AC28="Закрита пора",$AA28=1,$AD28="Матове",$AE28="Відкрита пора",$F28=19),$AP28*Прайс!$I$25,IF(AND($AB28="Матове",$AC28="Закрита пора",$AA28=2,$AD28="Матове",$AE28="Відкрита пора",$F28=19),$AP28*Прайс!$I$26,IF(AND($AB28="Глянець",$AC28="Закрита пора",$AA28=1,$AD28="Матове",$AE28="Відкрита пора",$F28=19),$AP28*Прайс!$I$27,IF(AND($AB28="Глянець",$AC28="Закрита пора",$AA28=2,$AD28="Матове",$AE28="Відкрита пора",$F28=19),$AP28*Прайс!$I$28,0)))))))))))))</f>
        <v>0</v>
      </c>
      <c r="AJ28" s="210" t="str">
        <f>IF(Бланк!$AD28="","",Бланк!$AD28*E28)</f>
        <v/>
      </c>
      <c r="AK28" s="213" t="str">
        <f>IF(OR($AJ28=0,$AJ28=""),"",$AJ28*Прайс!$J$47)</f>
        <v/>
      </c>
      <c r="AL28" s="217"/>
      <c r="AM28" s="218"/>
      <c r="AN28" s="218"/>
      <c r="AO28" s="218"/>
      <c r="AP28" s="107">
        <f t="shared" si="1"/>
        <v>0</v>
      </c>
      <c r="AQ28" s="207"/>
    </row>
    <row r="29" spans="1:43" s="221" customFormat="1" ht="20.25" x14ac:dyDescent="0.3">
      <c r="B29" s="219">
        <v>9</v>
      </c>
      <c r="C29" s="209">
        <f>Бланк!C29</f>
        <v>0</v>
      </c>
      <c r="D29" s="209">
        <f>Бланк!D29</f>
        <v>0</v>
      </c>
      <c r="E29" s="209">
        <f>Бланк!E29</f>
        <v>0</v>
      </c>
      <c r="F29" s="209">
        <f>Бланк!F29</f>
        <v>0</v>
      </c>
      <c r="G29" s="209"/>
      <c r="H29" s="212"/>
      <c r="I29" s="210" t="str">
        <f>IF(Бланк!$I29="","",Бланк!$I29)</f>
        <v/>
      </c>
      <c r="J29" s="211" t="str">
        <f>IF(OR($C29="",$C29=0),"",IF($I29="Пряма з чвертю",(Прайс!$J$42+Прайс!$J$44)*Просчёт!$E29,IF($I29="Пряма без чверті",Просчёт!$E29*Прайс!$J$42,"")))</f>
        <v/>
      </c>
      <c r="K29" s="210" t="str">
        <f>IF(Бланк!$K29="","",Бланк!$K29)</f>
        <v/>
      </c>
      <c r="L29" s="212" t="str">
        <f>IF(Бланк!$J29="","",Бланк!$J29/1000)</f>
        <v/>
      </c>
      <c r="M29" s="213" t="str">
        <f t="shared" si="0"/>
        <v/>
      </c>
      <c r="N29" s="213" t="str">
        <f>IF($K29="","",IF(OR($K29="J № 1",$K29="J № 2",$K29="J № 2L",$K29="J № 2R",$K29="AJ № 2",$K29="AJ № 2L",$K29="AJ № 2R",$K29="U",$K29="V"),$L29*$E29*Прайс!$J$45,IF(OR($K29="AJ № 3R",$K29="AJ № 4R",$K29="AJ № 5R",$K29="AJ № 3L",$K29="AJ № 4L",$K29="AJ № 5L",$K29="AJ № 3",$K29="AJ № 4",$K29="AJ № 5",$K29="J № 3",$K29="J № 4",$K29="J № 5",$K29="J № 6",$K29="J № 7",$K29="L",$K29="AL"),Прайс!$J$45*$E29,IF(OR($K29="J № 3L",$K29="J № 3R",$K29="J № 4L",$K29="J № 4R",$K29="J № 5L",$K29="J № 5R"),$L29/2*Прайс!$J$45*$E29,IF($K29="45 град.",$L29*Прайс!$J$50*$E29,0)))))</f>
        <v/>
      </c>
      <c r="O29" s="210" t="str">
        <f>IF(Бланк!$L29="","",Бланк!$L29)</f>
        <v/>
      </c>
      <c r="P29" s="210" t="str">
        <f>IF(Бланк!$M29="","",Бланк!$M29)</f>
        <v/>
      </c>
      <c r="Q29" s="214"/>
      <c r="R29" s="215"/>
      <c r="S29" s="210" t="str">
        <f>IF(Бланк!$P29="","",Бланк!$P29)</f>
        <v/>
      </c>
      <c r="T29" s="209" t="str">
        <f>IF($S29="","",VLOOKUP($S29,Лист1!$S$5:$T$32,2,FALSE))</f>
        <v/>
      </c>
      <c r="U29" s="215"/>
      <c r="V29" s="212"/>
      <c r="W29" s="212"/>
      <c r="X29" s="212"/>
      <c r="Y29" s="212"/>
      <c r="Z29" s="209"/>
      <c r="AA29" s="209" t="e">
        <f>VLOOKUP($S29,Прайс!$C$62:$E$90,3,FALSE)</f>
        <v>#N/A</v>
      </c>
      <c r="AB29" s="210" t="str">
        <f>IF(Бланк!$X29="","",Бланк!$X29)</f>
        <v/>
      </c>
      <c r="AC29" s="210" t="str">
        <f>IF(Бланк!$Y29="","",Бланк!$Y29)</f>
        <v/>
      </c>
      <c r="AD29" s="210" t="str">
        <f>IF(Бланк!$Z29="","",Бланк!$Z29)</f>
        <v/>
      </c>
      <c r="AE29" s="210" t="str">
        <f>IF(Бланк!$AA29="","",Бланк!$AA29)</f>
        <v/>
      </c>
      <c r="AF29" s="212"/>
      <c r="AG29" s="216"/>
      <c r="AH29" s="211">
        <f>IF(OR($C29=0,$C29=""),0,IF(AND($AB29="Матове",$AC29="Відкрита пора",$AA29=1,$AD29="Ламінат",OR($F29=4,$F29=6,$F29=8,$F29=10,$F29=16)),$AP29*Прайс!$G$17,IF(AND($AB29="Матове",$AC29="Відкрита пора",$AA29=2,$AD29="Ламінат",OR($F29=4,$F29=6,$F29=8,$F29=10,$F29=16)),$AP29*Прайс!$G$18,IF(AND($AB29="Матове",$AC29="Закрита пора",$AA29=1,$AD29="Ламінат",OR($F29=4,$F29=6,$F29=8,$F29=10,$F29=16)),$AP29*Прайс!$G$19,IF(AND($AB29="Матове",$AC29="Закрита пора",$AA29=2,$AD29="Ламінат",OR($F29=4,$F29=6,$F29=8,$F29=10,$F29=16)),$AP29*Прайс!$G$20,IF(AND($AB29="Глянець",$AC29="Закрита пора",$AA29=1,$AD29="Ламінат",OR($F29=4,$F29=6,$F29=8,$F29=10,$F29=16)),$AP29*Прайс!$G$21,IF(AND($AB29="Глянець",$AC29="Закрита пора",$AA29=2,$AD29="Ламінат",OR($F29=4,$F29=6,$F29=8,$F29=10,$F29=16)),$AP29*Прайс!$G$22,IF(AND($AB29="Матове",$AC29="Відкрита пора",$AA29=1,$AD29="Матове",$AE29="Відкрита пора",OR($F29=4,$F29=6,$F29=8,$F29=10,$F29=16)),$AP29*Прайс!$G$23,IF(AND($AB29="Матове",$AC29="Відкрита пора",$AA29=2,$AD29="Матове",$AE29="Відкрита пора",OR($F29=4,$F29=6,$F29=8,$F29=10,$F29=16)),$AP29*Прайс!$G$24,IF(AND($AB29="Матове",$AC29="Закрита пора",$AA29=1,$AD29="Матове",$AE29="Відкрита пора",OR($F29=4,$F29=6,$F29=8,$F29=10,$F29=16)),$AP29*Прайс!$G$25,IF(AND($AB29="Матове",$AC29="Закрита пора",$AA29=2,$AD29="Матове",$AE29="Відкрита пора",OR($F29=4,$F29=6,$F29=8,$F29=10,$F29=16)),$AP29*Прайс!$G$26,IF(AND($AB29="Глянець",$AC29="Закрита пора",$AA29=1,$AD29="Матове",$AE29="Відкрита пора",OR($F29=4,$F29=6,$F29=8,$F29=10,$F29=16)),$AP29*Прайс!$G$27,IF(AND($AB29="Глянець",$AC29="Закрита пора",$AA29=2,$AD29="Матове",$AE29="Відкрита пора",OR($F29=4,$F29=6,$F29=8,$F29=10,$F29=16)),$AP29*Прайс!$G$28,0)))))))))))))</f>
        <v>0</v>
      </c>
      <c r="AI29" s="211">
        <f>IF(OR($C29=0,$C29=""),0,IF(AND($AB29="Матове",$AC29="Відкрита пора",$AA29=1,$AD29="Ламінат",$F29=19),$AP29*Прайс!$I$17,IF(AND($AB29="Матове",$AC29="Відкрита пора",$AA29=2,$AD29="Ламінат",$F29=19),$AP29*Прайс!$I$18,IF(AND($AB29="Матове",$AC29="Закрита пора",$AA29=1,$AD29="Ламінат",$F29=19),$AP29*Прайс!$I$19,IF(AND($AB29="Матове",$AC29="Закрита пора",$AA29=2,$AD29="Ламінат",$F29=19),$AP29*Прайс!$I$20,IF(AND($AB29="Глянець",$AC29="Закрита пора",$AA29=1,$AD29="Ламінат",$F29=19),$AP29*Прайс!$I$21,IF(AND($AB29="Глянець",$AC29="Закрита пора",$AA29=2,$AD29="Ламінат",$F29=19),$AP29*Прайс!$I$22,IF(AND($AB29="Матове",$AC29="Відкрита пора",$AA29=1,$AD29="Матове",$AE29="Відкрита пора",$F29=19),$AP29*Прайс!$I$23,IF(AND($AB29="Матове",$AC29="Відкрита пора",$AA29=2,$AD29="Матове",$AE29="Відкрита пора",$F29=19),$AP29*Прайс!$I$24,IF(AND($AB29="Матове",$AC29="Закрита пора",$AA29=1,$AD29="Матове",$AE29="Відкрита пора",$F29=19),$AP29*Прайс!$I$25,IF(AND($AB29="Матове",$AC29="Закрита пора",$AA29=2,$AD29="Матове",$AE29="Відкрита пора",$F29=19),$AP29*Прайс!$I$26,IF(AND($AB29="Глянець",$AC29="Закрита пора",$AA29=1,$AD29="Матове",$AE29="Відкрита пора",$F29=19),$AP29*Прайс!$I$27,IF(AND($AB29="Глянець",$AC29="Закрита пора",$AA29=2,$AD29="Матове",$AE29="Відкрита пора",$F29=19),$AP29*Прайс!$I$28,0)))))))))))))</f>
        <v>0</v>
      </c>
      <c r="AJ29" s="210" t="str">
        <f>IF(Бланк!$AD29="","",Бланк!$AD29*E29)</f>
        <v/>
      </c>
      <c r="AK29" s="213" t="str">
        <f>IF(OR($AJ29=0,$AJ29=""),"",$AJ29*Прайс!$J$47)</f>
        <v/>
      </c>
      <c r="AL29" s="217"/>
      <c r="AM29" s="218"/>
      <c r="AN29" s="218"/>
      <c r="AO29" s="218"/>
      <c r="AP29" s="107">
        <f t="shared" si="1"/>
        <v>0</v>
      </c>
      <c r="AQ29" s="207"/>
    </row>
    <row r="30" spans="1:43" s="221" customFormat="1" ht="20.25" x14ac:dyDescent="0.3">
      <c r="B30" s="219">
        <v>10</v>
      </c>
      <c r="C30" s="209">
        <f>Бланк!C30</f>
        <v>0</v>
      </c>
      <c r="D30" s="209">
        <f>Бланк!D30</f>
        <v>0</v>
      </c>
      <c r="E30" s="209">
        <f>Бланк!E30</f>
        <v>0</v>
      </c>
      <c r="F30" s="209">
        <f>Бланк!F30</f>
        <v>0</v>
      </c>
      <c r="G30" s="209"/>
      <c r="H30" s="212"/>
      <c r="I30" s="210" t="str">
        <f>IF(Бланк!$I30="","",Бланк!$I30)</f>
        <v/>
      </c>
      <c r="J30" s="211" t="str">
        <f>IF(OR($C30="",$C30=0),"",IF($I30="Пряма з чвертю",(Прайс!$J$42+Прайс!$J$44)*Просчёт!$E30,IF($I30="Пряма без чверті",Просчёт!$E30*Прайс!$J$42,"")))</f>
        <v/>
      </c>
      <c r="K30" s="210" t="str">
        <f>IF(Бланк!$K30="","",Бланк!$K30)</f>
        <v/>
      </c>
      <c r="L30" s="212" t="str">
        <f>IF(Бланк!$J30="","",Бланк!$J30/1000)</f>
        <v/>
      </c>
      <c r="M30" s="213" t="str">
        <f t="shared" si="0"/>
        <v/>
      </c>
      <c r="N30" s="213" t="str">
        <f>IF($K30="","",IF(OR($K30="J № 1",$K30="J № 2",$K30="J № 2L",$K30="J № 2R",$K30="AJ № 2",$K30="AJ № 2L",$K30="AJ № 2R",$K30="U",$K30="V"),$L30*$E30*Прайс!$J$45,IF(OR($K30="AJ № 3R",$K30="AJ № 4R",$K30="AJ № 5R",$K30="AJ № 3L",$K30="AJ № 4L",$K30="AJ № 5L",$K30="AJ № 3",$K30="AJ № 4",$K30="AJ № 5",$K30="J № 3",$K30="J № 4",$K30="J № 5",$K30="J № 6",$K30="J № 7",$K30="L",$K30="AL"),Прайс!$J$45*$E30,IF(OR($K30="J № 3L",$K30="J № 3R",$K30="J № 4L",$K30="J № 4R",$K30="J № 5L",$K30="J № 5R"),$L30/2*Прайс!$J$45*$E30,IF($K30="45 град.",$L30*Прайс!$J$50*$E30,0)))))</f>
        <v/>
      </c>
      <c r="O30" s="210" t="str">
        <f>IF(Бланк!$L30="","",Бланк!$L30)</f>
        <v/>
      </c>
      <c r="P30" s="210" t="str">
        <f>IF(Бланк!$M30="","",Бланк!$M30)</f>
        <v/>
      </c>
      <c r="Q30" s="214"/>
      <c r="R30" s="215"/>
      <c r="S30" s="210" t="str">
        <f>IF(Бланк!$P30="","",Бланк!$P30)</f>
        <v/>
      </c>
      <c r="T30" s="209" t="str">
        <f>IF($S30="","",VLOOKUP($S30,Лист1!$S$5:$T$32,2,FALSE))</f>
        <v/>
      </c>
      <c r="U30" s="215"/>
      <c r="V30" s="212"/>
      <c r="W30" s="212"/>
      <c r="X30" s="212"/>
      <c r="Y30" s="212"/>
      <c r="Z30" s="209"/>
      <c r="AA30" s="209" t="e">
        <f>VLOOKUP($S30,Прайс!$C$62:$E$90,3,FALSE)</f>
        <v>#N/A</v>
      </c>
      <c r="AB30" s="210" t="str">
        <f>IF(Бланк!$X30="","",Бланк!$X30)</f>
        <v/>
      </c>
      <c r="AC30" s="210" t="str">
        <f>IF(Бланк!$Y30="","",Бланк!$Y30)</f>
        <v/>
      </c>
      <c r="AD30" s="210" t="str">
        <f>IF(Бланк!$Z30="","",Бланк!$Z30)</f>
        <v/>
      </c>
      <c r="AE30" s="210" t="str">
        <f>IF(Бланк!$AA30="","",Бланк!$AA30)</f>
        <v/>
      </c>
      <c r="AF30" s="212"/>
      <c r="AG30" s="216"/>
      <c r="AH30" s="211">
        <f>IF(OR($C30=0,$C30=""),0,IF(AND($AB30="Матове",$AC30="Відкрита пора",$AA30=1,$AD30="Ламінат",OR($F30=4,$F30=6,$F30=8,$F30=10,$F30=16)),$AP30*Прайс!$G$17,IF(AND($AB30="Матове",$AC30="Відкрита пора",$AA30=2,$AD30="Ламінат",OR($F30=4,$F30=6,$F30=8,$F30=10,$F30=16)),$AP30*Прайс!$G$18,IF(AND($AB30="Матове",$AC30="Закрита пора",$AA30=1,$AD30="Ламінат",OR($F30=4,$F30=6,$F30=8,$F30=10,$F30=16)),$AP30*Прайс!$G$19,IF(AND($AB30="Матове",$AC30="Закрита пора",$AA30=2,$AD30="Ламінат",OR($F30=4,$F30=6,$F30=8,$F30=10,$F30=16)),$AP30*Прайс!$G$20,IF(AND($AB30="Глянець",$AC30="Закрита пора",$AA30=1,$AD30="Ламінат",OR($F30=4,$F30=6,$F30=8,$F30=10,$F30=16)),$AP30*Прайс!$G$21,IF(AND($AB30="Глянець",$AC30="Закрита пора",$AA30=2,$AD30="Ламінат",OR($F30=4,$F30=6,$F30=8,$F30=10,$F30=16)),$AP30*Прайс!$G$22,IF(AND($AB30="Матове",$AC30="Відкрита пора",$AA30=1,$AD30="Матове",$AE30="Відкрита пора",OR($F30=4,$F30=6,$F30=8,$F30=10,$F30=16)),$AP30*Прайс!$G$23,IF(AND($AB30="Матове",$AC30="Відкрита пора",$AA30=2,$AD30="Матове",$AE30="Відкрита пора",OR($F30=4,$F30=6,$F30=8,$F30=10,$F30=16)),$AP30*Прайс!$G$24,IF(AND($AB30="Матове",$AC30="Закрита пора",$AA30=1,$AD30="Матове",$AE30="Відкрита пора",OR($F30=4,$F30=6,$F30=8,$F30=10,$F30=16)),$AP30*Прайс!$G$25,IF(AND($AB30="Матове",$AC30="Закрита пора",$AA30=2,$AD30="Матове",$AE30="Відкрита пора",OR($F30=4,$F30=6,$F30=8,$F30=10,$F30=16)),$AP30*Прайс!$G$26,IF(AND($AB30="Глянець",$AC30="Закрита пора",$AA30=1,$AD30="Матове",$AE30="Відкрита пора",OR($F30=4,$F30=6,$F30=8,$F30=10,$F30=16)),$AP30*Прайс!$G$27,IF(AND($AB30="Глянець",$AC30="Закрита пора",$AA30=2,$AD30="Матове",$AE30="Відкрита пора",OR($F30=4,$F30=6,$F30=8,$F30=10,$F30=16)),$AP30*Прайс!$G$28,0)))))))))))))</f>
        <v>0</v>
      </c>
      <c r="AI30" s="211">
        <f>IF(OR($C30=0,$C30=""),0,IF(AND($AB30="Матове",$AC30="Відкрита пора",$AA30=1,$AD30="Ламінат",$F30=19),$AP30*Прайс!$I$17,IF(AND($AB30="Матове",$AC30="Відкрита пора",$AA30=2,$AD30="Ламінат",$F30=19),$AP30*Прайс!$I$18,IF(AND($AB30="Матове",$AC30="Закрита пора",$AA30=1,$AD30="Ламінат",$F30=19),$AP30*Прайс!$I$19,IF(AND($AB30="Матове",$AC30="Закрита пора",$AA30=2,$AD30="Ламінат",$F30=19),$AP30*Прайс!$I$20,IF(AND($AB30="Глянець",$AC30="Закрита пора",$AA30=1,$AD30="Ламінат",$F30=19),$AP30*Прайс!$I$21,IF(AND($AB30="Глянець",$AC30="Закрита пора",$AA30=2,$AD30="Ламінат",$F30=19),$AP30*Прайс!$I$22,IF(AND($AB30="Матове",$AC30="Відкрита пора",$AA30=1,$AD30="Матове",$AE30="Відкрита пора",$F30=19),$AP30*Прайс!$I$23,IF(AND($AB30="Матове",$AC30="Відкрита пора",$AA30=2,$AD30="Матове",$AE30="Відкрита пора",$F30=19),$AP30*Прайс!$I$24,IF(AND($AB30="Матове",$AC30="Закрита пора",$AA30=1,$AD30="Матове",$AE30="Відкрита пора",$F30=19),$AP30*Прайс!$I$25,IF(AND($AB30="Матове",$AC30="Закрита пора",$AA30=2,$AD30="Матове",$AE30="Відкрита пора",$F30=19),$AP30*Прайс!$I$26,IF(AND($AB30="Глянець",$AC30="Закрита пора",$AA30=1,$AD30="Матове",$AE30="Відкрита пора",$F30=19),$AP30*Прайс!$I$27,IF(AND($AB30="Глянець",$AC30="Закрита пора",$AA30=2,$AD30="Матове",$AE30="Відкрита пора",$F30=19),$AP30*Прайс!$I$28,0)))))))))))))</f>
        <v>0</v>
      </c>
      <c r="AJ30" s="210" t="str">
        <f>IF(Бланк!$AD30="","",Бланк!$AD30*E30)</f>
        <v/>
      </c>
      <c r="AK30" s="213" t="str">
        <f>IF(OR($AJ30=0,$AJ30=""),"",$AJ30*Прайс!$J$47)</f>
        <v/>
      </c>
      <c r="AL30" s="217"/>
      <c r="AM30" s="218"/>
      <c r="AN30" s="218"/>
      <c r="AO30" s="218"/>
      <c r="AP30" s="107">
        <f t="shared" si="1"/>
        <v>0</v>
      </c>
      <c r="AQ30" s="207"/>
    </row>
    <row r="31" spans="1:43" s="221" customFormat="1" ht="20.25" x14ac:dyDescent="0.3">
      <c r="B31" s="219">
        <v>11</v>
      </c>
      <c r="C31" s="209">
        <f>Бланк!C31</f>
        <v>0</v>
      </c>
      <c r="D31" s="209">
        <f>Бланк!D31</f>
        <v>0</v>
      </c>
      <c r="E31" s="209">
        <f>Бланк!E31</f>
        <v>0</v>
      </c>
      <c r="F31" s="209">
        <f>Бланк!F31</f>
        <v>0</v>
      </c>
      <c r="G31" s="209"/>
      <c r="H31" s="212"/>
      <c r="I31" s="210" t="str">
        <f>IF(Бланк!$I31="","",Бланк!$I31)</f>
        <v/>
      </c>
      <c r="J31" s="211" t="str">
        <f>IF(OR($C31="",$C31=0),"",IF($I31="Пряма з чвертю",(Прайс!$J$42+Прайс!$J$44)*Просчёт!$E31,IF($I31="Пряма без чверті",Просчёт!$E31*Прайс!$J$42,"")))</f>
        <v/>
      </c>
      <c r="K31" s="210" t="str">
        <f>IF(Бланк!$K31="","",Бланк!$K31)</f>
        <v/>
      </c>
      <c r="L31" s="212" t="str">
        <f>IF(Бланк!$J31="","",Бланк!$J31/1000)</f>
        <v/>
      </c>
      <c r="M31" s="213" t="str">
        <f t="shared" si="0"/>
        <v/>
      </c>
      <c r="N31" s="213" t="str">
        <f>IF($K31="","",IF(OR($K31="J № 1",$K31="J № 2",$K31="J № 2L",$K31="J № 2R",$K31="AJ № 2",$K31="AJ № 2L",$K31="AJ № 2R",$K31="U",$K31="V"),$L31*$E31*Прайс!$J$45,IF(OR($K31="AJ № 3R",$K31="AJ № 4R",$K31="AJ № 5R",$K31="AJ № 3L",$K31="AJ № 4L",$K31="AJ № 5L",$K31="AJ № 3",$K31="AJ № 4",$K31="AJ № 5",$K31="J № 3",$K31="J № 4",$K31="J № 5",$K31="J № 6",$K31="J № 7",$K31="L",$K31="AL"),Прайс!$J$45*$E31,IF(OR($K31="J № 3L",$K31="J № 3R",$K31="J № 4L",$K31="J № 4R",$K31="J № 5L",$K31="J № 5R"),$L31/2*Прайс!$J$45*$E31,IF($K31="45 град.",$L31*Прайс!$J$50*$E31,0)))))</f>
        <v/>
      </c>
      <c r="O31" s="210" t="str">
        <f>IF(Бланк!$L31="","",Бланк!$L31)</f>
        <v/>
      </c>
      <c r="P31" s="210" t="str">
        <f>IF(Бланк!$M31="","",Бланк!$M31)</f>
        <v/>
      </c>
      <c r="Q31" s="214"/>
      <c r="R31" s="215"/>
      <c r="S31" s="210" t="str">
        <f>IF(Бланк!$P31="","",Бланк!$P31)</f>
        <v/>
      </c>
      <c r="T31" s="209" t="str">
        <f>IF($S31="","",VLOOKUP($S31,Лист1!$S$5:$T$32,2,FALSE))</f>
        <v/>
      </c>
      <c r="U31" s="215"/>
      <c r="V31" s="212"/>
      <c r="W31" s="212"/>
      <c r="X31" s="212"/>
      <c r="Y31" s="212"/>
      <c r="Z31" s="209"/>
      <c r="AA31" s="209" t="e">
        <f>VLOOKUP($S31,Прайс!$C$62:$E$90,3,FALSE)</f>
        <v>#N/A</v>
      </c>
      <c r="AB31" s="210" t="str">
        <f>IF(Бланк!$X31="","",Бланк!$X31)</f>
        <v/>
      </c>
      <c r="AC31" s="210" t="str">
        <f>IF(Бланк!$Y31="","",Бланк!$Y31)</f>
        <v/>
      </c>
      <c r="AD31" s="210" t="str">
        <f>IF(Бланк!$Z31="","",Бланк!$Z31)</f>
        <v/>
      </c>
      <c r="AE31" s="210" t="str">
        <f>IF(Бланк!$AA31="","",Бланк!$AA31)</f>
        <v/>
      </c>
      <c r="AF31" s="212"/>
      <c r="AG31" s="216"/>
      <c r="AH31" s="211">
        <f>IF(OR($C31=0,$C31=""),0,IF(AND($AB31="Матове",$AC31="Відкрита пора",$AA31=1,$AD31="Ламінат",OR($F31=4,$F31=6,$F31=8,$F31=10,$F31=16)),$AP31*Прайс!$G$17,IF(AND($AB31="Матове",$AC31="Відкрита пора",$AA31=2,$AD31="Ламінат",OR($F31=4,$F31=6,$F31=8,$F31=10,$F31=16)),$AP31*Прайс!$G$18,IF(AND($AB31="Матове",$AC31="Закрита пора",$AA31=1,$AD31="Ламінат",OR($F31=4,$F31=6,$F31=8,$F31=10,$F31=16)),$AP31*Прайс!$G$19,IF(AND($AB31="Матове",$AC31="Закрита пора",$AA31=2,$AD31="Ламінат",OR($F31=4,$F31=6,$F31=8,$F31=10,$F31=16)),$AP31*Прайс!$G$20,IF(AND($AB31="Глянець",$AC31="Закрита пора",$AA31=1,$AD31="Ламінат",OR($F31=4,$F31=6,$F31=8,$F31=10,$F31=16)),$AP31*Прайс!$G$21,IF(AND($AB31="Глянець",$AC31="Закрита пора",$AA31=2,$AD31="Ламінат",OR($F31=4,$F31=6,$F31=8,$F31=10,$F31=16)),$AP31*Прайс!$G$22,IF(AND($AB31="Матове",$AC31="Відкрита пора",$AA31=1,$AD31="Матове",$AE31="Відкрита пора",OR($F31=4,$F31=6,$F31=8,$F31=10,$F31=16)),$AP31*Прайс!$G$23,IF(AND($AB31="Матове",$AC31="Відкрита пора",$AA31=2,$AD31="Матове",$AE31="Відкрита пора",OR($F31=4,$F31=6,$F31=8,$F31=10,$F31=16)),$AP31*Прайс!$G$24,IF(AND($AB31="Матове",$AC31="Закрита пора",$AA31=1,$AD31="Матове",$AE31="Відкрита пора",OR($F31=4,$F31=6,$F31=8,$F31=10,$F31=16)),$AP31*Прайс!$G$25,IF(AND($AB31="Матове",$AC31="Закрита пора",$AA31=2,$AD31="Матове",$AE31="Відкрита пора",OR($F31=4,$F31=6,$F31=8,$F31=10,$F31=16)),$AP31*Прайс!$G$26,IF(AND($AB31="Глянець",$AC31="Закрита пора",$AA31=1,$AD31="Матове",$AE31="Відкрита пора",OR($F31=4,$F31=6,$F31=8,$F31=10,$F31=16)),$AP31*Прайс!$G$27,IF(AND($AB31="Глянець",$AC31="Закрита пора",$AA31=2,$AD31="Матове",$AE31="Відкрита пора",OR($F31=4,$F31=6,$F31=8,$F31=10,$F31=16)),$AP31*Прайс!$G$28,0)))))))))))))</f>
        <v>0</v>
      </c>
      <c r="AI31" s="211">
        <f>IF(OR($C31=0,$C31=""),0,IF(AND($AB31="Матове",$AC31="Відкрита пора",$AA31=1,$AD31="Ламінат",$F31=19),$AP31*Прайс!$I$17,IF(AND($AB31="Матове",$AC31="Відкрита пора",$AA31=2,$AD31="Ламінат",$F31=19),$AP31*Прайс!$I$18,IF(AND($AB31="Матове",$AC31="Закрита пора",$AA31=1,$AD31="Ламінат",$F31=19),$AP31*Прайс!$I$19,IF(AND($AB31="Матове",$AC31="Закрита пора",$AA31=2,$AD31="Ламінат",$F31=19),$AP31*Прайс!$I$20,IF(AND($AB31="Глянець",$AC31="Закрита пора",$AA31=1,$AD31="Ламінат",$F31=19),$AP31*Прайс!$I$21,IF(AND($AB31="Глянець",$AC31="Закрита пора",$AA31=2,$AD31="Ламінат",$F31=19),$AP31*Прайс!$I$22,IF(AND($AB31="Матове",$AC31="Відкрита пора",$AA31=1,$AD31="Матове",$AE31="Відкрита пора",$F31=19),$AP31*Прайс!$I$23,IF(AND($AB31="Матове",$AC31="Відкрита пора",$AA31=2,$AD31="Матове",$AE31="Відкрита пора",$F31=19),$AP31*Прайс!$I$24,IF(AND($AB31="Матове",$AC31="Закрита пора",$AA31=1,$AD31="Матове",$AE31="Відкрита пора",$F31=19),$AP31*Прайс!$I$25,IF(AND($AB31="Матове",$AC31="Закрита пора",$AA31=2,$AD31="Матове",$AE31="Відкрита пора",$F31=19),$AP31*Прайс!$I$26,IF(AND($AB31="Глянець",$AC31="Закрита пора",$AA31=1,$AD31="Матове",$AE31="Відкрита пора",$F31=19),$AP31*Прайс!$I$27,IF(AND($AB31="Глянець",$AC31="Закрита пора",$AA31=2,$AD31="Матове",$AE31="Відкрита пора",$F31=19),$AP31*Прайс!$I$28,0)))))))))))))</f>
        <v>0</v>
      </c>
      <c r="AJ31" s="210" t="str">
        <f>IF(Бланк!$AD31="","",Бланк!$AD31*E31)</f>
        <v/>
      </c>
      <c r="AK31" s="213" t="str">
        <f>IF(OR($AJ31=0,$AJ31=""),"",$AJ31*Прайс!$J$47)</f>
        <v/>
      </c>
      <c r="AL31" s="217"/>
      <c r="AM31" s="218"/>
      <c r="AN31" s="218"/>
      <c r="AO31" s="218"/>
      <c r="AP31" s="107">
        <f t="shared" si="1"/>
        <v>0</v>
      </c>
      <c r="AQ31" s="207"/>
    </row>
    <row r="32" spans="1:43" s="221" customFormat="1" ht="20.25" x14ac:dyDescent="0.3">
      <c r="B32" s="219">
        <v>12</v>
      </c>
      <c r="C32" s="209">
        <f>Бланк!C32</f>
        <v>0</v>
      </c>
      <c r="D32" s="209">
        <f>Бланк!D32</f>
        <v>0</v>
      </c>
      <c r="E32" s="209">
        <f>Бланк!E32</f>
        <v>0</v>
      </c>
      <c r="F32" s="209">
        <f>Бланк!F32</f>
        <v>0</v>
      </c>
      <c r="G32" s="209"/>
      <c r="H32" s="212"/>
      <c r="I32" s="210" t="str">
        <f>IF(Бланк!$I32="","",Бланк!$I32)</f>
        <v/>
      </c>
      <c r="J32" s="211" t="str">
        <f>IF(OR($C32="",$C32=0),"",IF($I32="Пряма з чвертю",(Прайс!$J$42+Прайс!$J$44)*Просчёт!$E32,IF($I32="Пряма без чверті",Просчёт!$E32*Прайс!$J$42,"")))</f>
        <v/>
      </c>
      <c r="K32" s="210" t="str">
        <f>IF(Бланк!$K32="","",Бланк!$K32)</f>
        <v/>
      </c>
      <c r="L32" s="212" t="str">
        <f>IF(Бланк!$J32="","",Бланк!$J32/1000)</f>
        <v/>
      </c>
      <c r="M32" s="213" t="str">
        <f t="shared" si="0"/>
        <v/>
      </c>
      <c r="N32" s="213" t="str">
        <f>IF($K32="","",IF(OR($K32="J № 1",$K32="J № 2",$K32="J № 2L",$K32="J № 2R",$K32="AJ № 2",$K32="AJ № 2L",$K32="AJ № 2R",$K32="U",$K32="V"),$L32*$E32*Прайс!$J$45,IF(OR($K32="AJ № 3R",$K32="AJ № 4R",$K32="AJ № 5R",$K32="AJ № 3L",$K32="AJ № 4L",$K32="AJ № 5L",$K32="AJ № 3",$K32="AJ № 4",$K32="AJ № 5",$K32="J № 3",$K32="J № 4",$K32="J № 5",$K32="J № 6",$K32="J № 7",$K32="L",$K32="AL"),Прайс!$J$45*$E32,IF(OR($K32="J № 3L",$K32="J № 3R",$K32="J № 4L",$K32="J № 4R",$K32="J № 5L",$K32="J № 5R"),$L32/2*Прайс!$J$45*$E32,IF($K32="45 град.",$L32*Прайс!$J$50*$E32,0)))))</f>
        <v/>
      </c>
      <c r="O32" s="210" t="str">
        <f>IF(Бланк!$L32="","",Бланк!$L32)</f>
        <v/>
      </c>
      <c r="P32" s="210" t="str">
        <f>IF(Бланк!$M32="","",Бланк!$M32)</f>
        <v/>
      </c>
      <c r="Q32" s="214"/>
      <c r="R32" s="215"/>
      <c r="S32" s="210" t="str">
        <f>IF(Бланк!$P32="","",Бланк!$P32)</f>
        <v/>
      </c>
      <c r="T32" s="209" t="str">
        <f>IF($S32="","",VLOOKUP($S32,Лист1!$S$5:$T$32,2,FALSE))</f>
        <v/>
      </c>
      <c r="U32" s="215"/>
      <c r="V32" s="212"/>
      <c r="W32" s="212"/>
      <c r="X32" s="212"/>
      <c r="Y32" s="212"/>
      <c r="Z32" s="209"/>
      <c r="AA32" s="209" t="e">
        <f>VLOOKUP($S32,Прайс!$C$62:$E$90,3,FALSE)</f>
        <v>#N/A</v>
      </c>
      <c r="AB32" s="210" t="str">
        <f>IF(Бланк!$X32="","",Бланк!$X32)</f>
        <v/>
      </c>
      <c r="AC32" s="210" t="str">
        <f>IF(Бланк!$Y32="","",Бланк!$Y32)</f>
        <v/>
      </c>
      <c r="AD32" s="210" t="str">
        <f>IF(Бланк!$Z32="","",Бланк!$Z32)</f>
        <v/>
      </c>
      <c r="AE32" s="210" t="str">
        <f>IF(Бланк!$AA32="","",Бланк!$AA32)</f>
        <v/>
      </c>
      <c r="AF32" s="212"/>
      <c r="AG32" s="216"/>
      <c r="AH32" s="211">
        <f>IF(OR($C32=0,$C32=""),0,IF(AND($AB32="Матове",$AC32="Відкрита пора",$AA32=1,$AD32="Ламінат",OR($F32=4,$F32=6,$F32=8,$F32=10,$F32=16)),$AP32*Прайс!$G$17,IF(AND($AB32="Матове",$AC32="Відкрита пора",$AA32=2,$AD32="Ламінат",OR($F32=4,$F32=6,$F32=8,$F32=10,$F32=16)),$AP32*Прайс!$G$18,IF(AND($AB32="Матове",$AC32="Закрита пора",$AA32=1,$AD32="Ламінат",OR($F32=4,$F32=6,$F32=8,$F32=10,$F32=16)),$AP32*Прайс!$G$19,IF(AND($AB32="Матове",$AC32="Закрита пора",$AA32=2,$AD32="Ламінат",OR($F32=4,$F32=6,$F32=8,$F32=10,$F32=16)),$AP32*Прайс!$G$20,IF(AND($AB32="Глянець",$AC32="Закрита пора",$AA32=1,$AD32="Ламінат",OR($F32=4,$F32=6,$F32=8,$F32=10,$F32=16)),$AP32*Прайс!$G$21,IF(AND($AB32="Глянець",$AC32="Закрита пора",$AA32=2,$AD32="Ламінат",OR($F32=4,$F32=6,$F32=8,$F32=10,$F32=16)),$AP32*Прайс!$G$22,IF(AND($AB32="Матове",$AC32="Відкрита пора",$AA32=1,$AD32="Матове",$AE32="Відкрита пора",OR($F32=4,$F32=6,$F32=8,$F32=10,$F32=16)),$AP32*Прайс!$G$23,IF(AND($AB32="Матове",$AC32="Відкрита пора",$AA32=2,$AD32="Матове",$AE32="Відкрита пора",OR($F32=4,$F32=6,$F32=8,$F32=10,$F32=16)),$AP32*Прайс!$G$24,IF(AND($AB32="Матове",$AC32="Закрита пора",$AA32=1,$AD32="Матове",$AE32="Відкрита пора",OR($F32=4,$F32=6,$F32=8,$F32=10,$F32=16)),$AP32*Прайс!$G$25,IF(AND($AB32="Матове",$AC32="Закрита пора",$AA32=2,$AD32="Матове",$AE32="Відкрита пора",OR($F32=4,$F32=6,$F32=8,$F32=10,$F32=16)),$AP32*Прайс!$G$26,IF(AND($AB32="Глянець",$AC32="Закрита пора",$AA32=1,$AD32="Матове",$AE32="Відкрита пора",OR($F32=4,$F32=6,$F32=8,$F32=10,$F32=16)),$AP32*Прайс!$G$27,IF(AND($AB32="Глянець",$AC32="Закрита пора",$AA32=2,$AD32="Матове",$AE32="Відкрита пора",OR($F32=4,$F32=6,$F32=8,$F32=10,$F32=16)),$AP32*Прайс!$G$28,0)))))))))))))</f>
        <v>0</v>
      </c>
      <c r="AI32" s="211">
        <f>IF(OR($C32=0,$C32=""),0,IF(AND($AB32="Матове",$AC32="Відкрита пора",$AA32=1,$AD32="Ламінат",$F32=19),$AP32*Прайс!$I$17,IF(AND($AB32="Матове",$AC32="Відкрита пора",$AA32=2,$AD32="Ламінат",$F32=19),$AP32*Прайс!$I$18,IF(AND($AB32="Матове",$AC32="Закрита пора",$AA32=1,$AD32="Ламінат",$F32=19),$AP32*Прайс!$I$19,IF(AND($AB32="Матове",$AC32="Закрита пора",$AA32=2,$AD32="Ламінат",$F32=19),$AP32*Прайс!$I$20,IF(AND($AB32="Глянець",$AC32="Закрита пора",$AA32=1,$AD32="Ламінат",$F32=19),$AP32*Прайс!$I$21,IF(AND($AB32="Глянець",$AC32="Закрита пора",$AA32=2,$AD32="Ламінат",$F32=19),$AP32*Прайс!$I$22,IF(AND($AB32="Матове",$AC32="Відкрита пора",$AA32=1,$AD32="Матове",$AE32="Відкрита пора",$F32=19),$AP32*Прайс!$I$23,IF(AND($AB32="Матове",$AC32="Відкрита пора",$AA32=2,$AD32="Матове",$AE32="Відкрита пора",$F32=19),$AP32*Прайс!$I$24,IF(AND($AB32="Матове",$AC32="Закрита пора",$AA32=1,$AD32="Матове",$AE32="Відкрита пора",$F32=19),$AP32*Прайс!$I$25,IF(AND($AB32="Матове",$AC32="Закрита пора",$AA32=2,$AD32="Матове",$AE32="Відкрита пора",$F32=19),$AP32*Прайс!$I$26,IF(AND($AB32="Глянець",$AC32="Закрита пора",$AA32=1,$AD32="Матове",$AE32="Відкрита пора",$F32=19),$AP32*Прайс!$I$27,IF(AND($AB32="Глянець",$AC32="Закрита пора",$AA32=2,$AD32="Матове",$AE32="Відкрита пора",$F32=19),$AP32*Прайс!$I$28,0)))))))))))))</f>
        <v>0</v>
      </c>
      <c r="AJ32" s="210" t="str">
        <f>IF(Бланк!$AD32="","",Бланк!$AD32*E32)</f>
        <v/>
      </c>
      <c r="AK32" s="213" t="str">
        <f>IF(OR($AJ32=0,$AJ32=""),"",$AJ32*Прайс!$J$47)</f>
        <v/>
      </c>
      <c r="AL32" s="217"/>
      <c r="AM32" s="218"/>
      <c r="AN32" s="218"/>
      <c r="AO32" s="218"/>
      <c r="AP32" s="107">
        <f t="shared" si="1"/>
        <v>0</v>
      </c>
      <c r="AQ32" s="207"/>
    </row>
    <row r="33" spans="2:43" s="221" customFormat="1" ht="20.25" x14ac:dyDescent="0.3">
      <c r="B33" s="219">
        <v>13</v>
      </c>
      <c r="C33" s="209">
        <f>Бланк!C33</f>
        <v>0</v>
      </c>
      <c r="D33" s="209">
        <f>Бланк!D33</f>
        <v>0</v>
      </c>
      <c r="E33" s="209">
        <f>Бланк!E33</f>
        <v>0</v>
      </c>
      <c r="F33" s="209">
        <f>Бланк!F33</f>
        <v>0</v>
      </c>
      <c r="G33" s="209"/>
      <c r="H33" s="212"/>
      <c r="I33" s="210" t="str">
        <f>IF(Бланк!$I33="","",Бланк!$I33)</f>
        <v/>
      </c>
      <c r="J33" s="211" t="str">
        <f>IF(OR($C33="",$C33=0),"",IF($I33="Пряма з чвертю",(Прайс!$J$42+Прайс!$J$44)*Просчёт!$E33,IF($I33="Пряма без чверті",Просчёт!$E33*Прайс!$J$42,"")))</f>
        <v/>
      </c>
      <c r="K33" s="210" t="str">
        <f>IF(Бланк!$K33="","",Бланк!$K33)</f>
        <v/>
      </c>
      <c r="L33" s="212" t="str">
        <f>IF(Бланк!$J33="","",Бланк!$J33/1000)</f>
        <v/>
      </c>
      <c r="M33" s="213" t="str">
        <f t="shared" si="0"/>
        <v/>
      </c>
      <c r="N33" s="213" t="str">
        <f>IF($K33="","",IF(OR($K33="J № 1",$K33="J № 2",$K33="J № 2L",$K33="J № 2R",$K33="AJ № 2",$K33="AJ № 2L",$K33="AJ № 2R",$K33="U",$K33="V"),$L33*$E33*Прайс!$J$45,IF(OR($K33="AJ № 3R",$K33="AJ № 4R",$K33="AJ № 5R",$K33="AJ № 3L",$K33="AJ № 4L",$K33="AJ № 5L",$K33="AJ № 3",$K33="AJ № 4",$K33="AJ № 5",$K33="J № 3",$K33="J № 4",$K33="J № 5",$K33="J № 6",$K33="J № 7",$K33="L",$K33="AL"),Прайс!$J$45*$E33,IF(OR($K33="J № 3L",$K33="J № 3R",$K33="J № 4L",$K33="J № 4R",$K33="J № 5L",$K33="J № 5R"),$L33/2*Прайс!$J$45*$E33,IF($K33="45 град.",$L33*Прайс!$J$50*$E33,0)))))</f>
        <v/>
      </c>
      <c r="O33" s="210" t="str">
        <f>IF(Бланк!$L33="","",Бланк!$L33)</f>
        <v/>
      </c>
      <c r="P33" s="210" t="str">
        <f>IF(Бланк!$M33="","",Бланк!$M33)</f>
        <v/>
      </c>
      <c r="Q33" s="214"/>
      <c r="R33" s="215"/>
      <c r="S33" s="210" t="str">
        <f>IF(Бланк!$P33="","",Бланк!$P33)</f>
        <v/>
      </c>
      <c r="T33" s="209" t="str">
        <f>IF($S33="","",VLOOKUP($S33,Лист1!$S$5:$T$32,2,FALSE))</f>
        <v/>
      </c>
      <c r="U33" s="215"/>
      <c r="V33" s="212"/>
      <c r="W33" s="212"/>
      <c r="X33" s="212"/>
      <c r="Y33" s="212"/>
      <c r="Z33" s="209"/>
      <c r="AA33" s="209" t="e">
        <f>VLOOKUP($S33,Прайс!$C$62:$E$90,3,FALSE)</f>
        <v>#N/A</v>
      </c>
      <c r="AB33" s="210" t="str">
        <f>IF(Бланк!$X33="","",Бланк!$X33)</f>
        <v/>
      </c>
      <c r="AC33" s="210" t="str">
        <f>IF(Бланк!$Y33="","",Бланк!$Y33)</f>
        <v/>
      </c>
      <c r="AD33" s="210" t="str">
        <f>IF(Бланк!$Z33="","",Бланк!$Z33)</f>
        <v/>
      </c>
      <c r="AE33" s="210" t="str">
        <f>IF(Бланк!$AA33="","",Бланк!$AA33)</f>
        <v/>
      </c>
      <c r="AF33" s="212"/>
      <c r="AG33" s="216"/>
      <c r="AH33" s="211">
        <f>IF(OR($C33=0,$C33=""),0,IF(AND($AB33="Матове",$AC33="Відкрита пора",$AA33=1,$AD33="Ламінат",OR($F33=4,$F33=6,$F33=8,$F33=10,$F33=16)),$AP33*Прайс!$G$17,IF(AND($AB33="Матове",$AC33="Відкрита пора",$AA33=2,$AD33="Ламінат",OR($F33=4,$F33=6,$F33=8,$F33=10,$F33=16)),$AP33*Прайс!$G$18,IF(AND($AB33="Матове",$AC33="Закрита пора",$AA33=1,$AD33="Ламінат",OR($F33=4,$F33=6,$F33=8,$F33=10,$F33=16)),$AP33*Прайс!$G$19,IF(AND($AB33="Матове",$AC33="Закрита пора",$AA33=2,$AD33="Ламінат",OR($F33=4,$F33=6,$F33=8,$F33=10,$F33=16)),$AP33*Прайс!$G$20,IF(AND($AB33="Глянець",$AC33="Закрита пора",$AA33=1,$AD33="Ламінат",OR($F33=4,$F33=6,$F33=8,$F33=10,$F33=16)),$AP33*Прайс!$G$21,IF(AND($AB33="Глянець",$AC33="Закрита пора",$AA33=2,$AD33="Ламінат",OR($F33=4,$F33=6,$F33=8,$F33=10,$F33=16)),$AP33*Прайс!$G$22,IF(AND($AB33="Матове",$AC33="Відкрита пора",$AA33=1,$AD33="Матове",$AE33="Відкрита пора",OR($F33=4,$F33=6,$F33=8,$F33=10,$F33=16)),$AP33*Прайс!$G$23,IF(AND($AB33="Матове",$AC33="Відкрита пора",$AA33=2,$AD33="Матове",$AE33="Відкрита пора",OR($F33=4,$F33=6,$F33=8,$F33=10,$F33=16)),$AP33*Прайс!$G$24,IF(AND($AB33="Матове",$AC33="Закрита пора",$AA33=1,$AD33="Матове",$AE33="Відкрита пора",OR($F33=4,$F33=6,$F33=8,$F33=10,$F33=16)),$AP33*Прайс!$G$25,IF(AND($AB33="Матове",$AC33="Закрита пора",$AA33=2,$AD33="Матове",$AE33="Відкрита пора",OR($F33=4,$F33=6,$F33=8,$F33=10,$F33=16)),$AP33*Прайс!$G$26,IF(AND($AB33="Глянець",$AC33="Закрита пора",$AA33=1,$AD33="Матове",$AE33="Відкрита пора",OR($F33=4,$F33=6,$F33=8,$F33=10,$F33=16)),$AP33*Прайс!$G$27,IF(AND($AB33="Глянець",$AC33="Закрита пора",$AA33=2,$AD33="Матове",$AE33="Відкрита пора",OR($F33=4,$F33=6,$F33=8,$F33=10,$F33=16)),$AP33*Прайс!$G$28,0)))))))))))))</f>
        <v>0</v>
      </c>
      <c r="AI33" s="211">
        <f>IF(OR($C33=0,$C33=""),0,IF(AND($AB33="Матове",$AC33="Відкрита пора",$AA33=1,$AD33="Ламінат",$F33=19),$AP33*Прайс!$I$17,IF(AND($AB33="Матове",$AC33="Відкрита пора",$AA33=2,$AD33="Ламінат",$F33=19),$AP33*Прайс!$I$18,IF(AND($AB33="Матове",$AC33="Закрита пора",$AA33=1,$AD33="Ламінат",$F33=19),$AP33*Прайс!$I$19,IF(AND($AB33="Матове",$AC33="Закрита пора",$AA33=2,$AD33="Ламінат",$F33=19),$AP33*Прайс!$I$20,IF(AND($AB33="Глянець",$AC33="Закрита пора",$AA33=1,$AD33="Ламінат",$F33=19),$AP33*Прайс!$I$21,IF(AND($AB33="Глянець",$AC33="Закрита пора",$AA33=2,$AD33="Ламінат",$F33=19),$AP33*Прайс!$I$22,IF(AND($AB33="Матове",$AC33="Відкрита пора",$AA33=1,$AD33="Матове",$AE33="Відкрита пора",$F33=19),$AP33*Прайс!$I$23,IF(AND($AB33="Матове",$AC33="Відкрита пора",$AA33=2,$AD33="Матове",$AE33="Відкрита пора",$F33=19),$AP33*Прайс!$I$24,IF(AND($AB33="Матове",$AC33="Закрита пора",$AA33=1,$AD33="Матове",$AE33="Відкрита пора",$F33=19),$AP33*Прайс!$I$25,IF(AND($AB33="Матове",$AC33="Закрита пора",$AA33=2,$AD33="Матове",$AE33="Відкрита пора",$F33=19),$AP33*Прайс!$I$26,IF(AND($AB33="Глянець",$AC33="Закрита пора",$AA33=1,$AD33="Матове",$AE33="Відкрита пора",$F33=19),$AP33*Прайс!$I$27,IF(AND($AB33="Глянець",$AC33="Закрита пора",$AA33=2,$AD33="Матове",$AE33="Відкрита пора",$F33=19),$AP33*Прайс!$I$28,0)))))))))))))</f>
        <v>0</v>
      </c>
      <c r="AJ33" s="210" t="str">
        <f>IF(Бланк!$AD33="","",Бланк!$AD33*E33)</f>
        <v/>
      </c>
      <c r="AK33" s="213" t="str">
        <f>IF(OR($AJ33=0,$AJ33=""),"",$AJ33*Прайс!$J$47)</f>
        <v/>
      </c>
      <c r="AL33" s="217"/>
      <c r="AM33" s="218"/>
      <c r="AN33" s="218"/>
      <c r="AO33" s="218"/>
      <c r="AP33" s="107">
        <f t="shared" si="1"/>
        <v>0</v>
      </c>
      <c r="AQ33" s="207"/>
    </row>
    <row r="34" spans="2:43" s="221" customFormat="1" ht="20.25" x14ac:dyDescent="0.3">
      <c r="B34" s="219">
        <v>14</v>
      </c>
      <c r="C34" s="209">
        <f>Бланк!C34</f>
        <v>0</v>
      </c>
      <c r="D34" s="209">
        <f>Бланк!D34</f>
        <v>0</v>
      </c>
      <c r="E34" s="209">
        <f>Бланк!E34</f>
        <v>0</v>
      </c>
      <c r="F34" s="209">
        <f>Бланк!F34</f>
        <v>0</v>
      </c>
      <c r="G34" s="209"/>
      <c r="H34" s="212"/>
      <c r="I34" s="210" t="str">
        <f>IF(Бланк!$I34="","",Бланк!$I34)</f>
        <v/>
      </c>
      <c r="J34" s="211" t="str">
        <f>IF(OR($C34="",$C34=0),"",IF($I34="Пряма з чвертю",(Прайс!$J$42+Прайс!$J$44)*Просчёт!$E34,IF($I34="Пряма без чверті",Просчёт!$E34*Прайс!$J$42,"")))</f>
        <v/>
      </c>
      <c r="K34" s="210" t="str">
        <f>IF(Бланк!$K34="","",Бланк!$K34)</f>
        <v/>
      </c>
      <c r="L34" s="212" t="str">
        <f>IF(Бланк!$J34="","",Бланк!$J34/1000)</f>
        <v/>
      </c>
      <c r="M34" s="213" t="str">
        <f t="shared" si="0"/>
        <v/>
      </c>
      <c r="N34" s="213" t="str">
        <f>IF($K34="","",IF(OR($K34="J № 1",$K34="J № 2",$K34="J № 2L",$K34="J № 2R",$K34="AJ № 2",$K34="AJ № 2L",$K34="AJ № 2R",$K34="U",$K34="V"),$L34*$E34*Прайс!$J$45,IF(OR($K34="AJ № 3R",$K34="AJ № 4R",$K34="AJ № 5R",$K34="AJ № 3L",$K34="AJ № 4L",$K34="AJ № 5L",$K34="AJ № 3",$K34="AJ № 4",$K34="AJ № 5",$K34="J № 3",$K34="J № 4",$K34="J № 5",$K34="J № 6",$K34="J № 7",$K34="L",$K34="AL"),Прайс!$J$45*$E34,IF(OR($K34="J № 3L",$K34="J № 3R",$K34="J № 4L",$K34="J № 4R",$K34="J № 5L",$K34="J № 5R"),$L34/2*Прайс!$J$45*$E34,IF($K34="45 град.",$L34*Прайс!$J$50*$E34,0)))))</f>
        <v/>
      </c>
      <c r="O34" s="210" t="str">
        <f>IF(Бланк!$L34="","",Бланк!$L34)</f>
        <v/>
      </c>
      <c r="P34" s="210" t="str">
        <f>IF(Бланк!$M34="","",Бланк!$M34)</f>
        <v/>
      </c>
      <c r="Q34" s="214"/>
      <c r="R34" s="215"/>
      <c r="S34" s="210" t="str">
        <f>IF(Бланк!$P34="","",Бланк!$P34)</f>
        <v/>
      </c>
      <c r="T34" s="209" t="str">
        <f>IF($S34="","",VLOOKUP($S34,Лист1!$S$5:$T$32,2,FALSE))</f>
        <v/>
      </c>
      <c r="U34" s="215"/>
      <c r="V34" s="212"/>
      <c r="W34" s="212"/>
      <c r="X34" s="212"/>
      <c r="Y34" s="212"/>
      <c r="Z34" s="209"/>
      <c r="AA34" s="209" t="e">
        <f>VLOOKUP($S34,Прайс!$C$62:$E$90,3,FALSE)</f>
        <v>#N/A</v>
      </c>
      <c r="AB34" s="210" t="str">
        <f>IF(Бланк!$X34="","",Бланк!$X34)</f>
        <v/>
      </c>
      <c r="AC34" s="210" t="str">
        <f>IF(Бланк!$Y34="","",Бланк!$Y34)</f>
        <v/>
      </c>
      <c r="AD34" s="210" t="str">
        <f>IF(Бланк!$Z34="","",Бланк!$Z34)</f>
        <v/>
      </c>
      <c r="AE34" s="210" t="str">
        <f>IF(Бланк!$AA34="","",Бланк!$AA34)</f>
        <v/>
      </c>
      <c r="AF34" s="212"/>
      <c r="AG34" s="216"/>
      <c r="AH34" s="211">
        <f>IF(OR($C34=0,$C34=""),0,IF(AND($AB34="Матове",$AC34="Відкрита пора",$AA34=1,$AD34="Ламінат",OR($F34=4,$F34=6,$F34=8,$F34=10,$F34=16)),$AP34*Прайс!$G$17,IF(AND($AB34="Матове",$AC34="Відкрита пора",$AA34=2,$AD34="Ламінат",OR($F34=4,$F34=6,$F34=8,$F34=10,$F34=16)),$AP34*Прайс!$G$18,IF(AND($AB34="Матове",$AC34="Закрита пора",$AA34=1,$AD34="Ламінат",OR($F34=4,$F34=6,$F34=8,$F34=10,$F34=16)),$AP34*Прайс!$G$19,IF(AND($AB34="Матове",$AC34="Закрита пора",$AA34=2,$AD34="Ламінат",OR($F34=4,$F34=6,$F34=8,$F34=10,$F34=16)),$AP34*Прайс!$G$20,IF(AND($AB34="Глянець",$AC34="Закрита пора",$AA34=1,$AD34="Ламінат",OR($F34=4,$F34=6,$F34=8,$F34=10,$F34=16)),$AP34*Прайс!$G$21,IF(AND($AB34="Глянець",$AC34="Закрита пора",$AA34=2,$AD34="Ламінат",OR($F34=4,$F34=6,$F34=8,$F34=10,$F34=16)),$AP34*Прайс!$G$22,IF(AND($AB34="Матове",$AC34="Відкрита пора",$AA34=1,$AD34="Матове",$AE34="Відкрита пора",OR($F34=4,$F34=6,$F34=8,$F34=10,$F34=16)),$AP34*Прайс!$G$23,IF(AND($AB34="Матове",$AC34="Відкрита пора",$AA34=2,$AD34="Матове",$AE34="Відкрита пора",OR($F34=4,$F34=6,$F34=8,$F34=10,$F34=16)),$AP34*Прайс!$G$24,IF(AND($AB34="Матове",$AC34="Закрита пора",$AA34=1,$AD34="Матове",$AE34="Відкрита пора",OR($F34=4,$F34=6,$F34=8,$F34=10,$F34=16)),$AP34*Прайс!$G$25,IF(AND($AB34="Матове",$AC34="Закрита пора",$AA34=2,$AD34="Матове",$AE34="Відкрита пора",OR($F34=4,$F34=6,$F34=8,$F34=10,$F34=16)),$AP34*Прайс!$G$26,IF(AND($AB34="Глянець",$AC34="Закрита пора",$AA34=1,$AD34="Матове",$AE34="Відкрита пора",OR($F34=4,$F34=6,$F34=8,$F34=10,$F34=16)),$AP34*Прайс!$G$27,IF(AND($AB34="Глянець",$AC34="Закрита пора",$AA34=2,$AD34="Матове",$AE34="Відкрита пора",OR($F34=4,$F34=6,$F34=8,$F34=10,$F34=16)),$AP34*Прайс!$G$28,0)))))))))))))</f>
        <v>0</v>
      </c>
      <c r="AI34" s="211">
        <f>IF(OR($C34=0,$C34=""),0,IF(AND($AB34="Матове",$AC34="Відкрита пора",$AA34=1,$AD34="Ламінат",$F34=19),$AP34*Прайс!$I$17,IF(AND($AB34="Матове",$AC34="Відкрита пора",$AA34=2,$AD34="Ламінат",$F34=19),$AP34*Прайс!$I$18,IF(AND($AB34="Матове",$AC34="Закрита пора",$AA34=1,$AD34="Ламінат",$F34=19),$AP34*Прайс!$I$19,IF(AND($AB34="Матове",$AC34="Закрита пора",$AA34=2,$AD34="Ламінат",$F34=19),$AP34*Прайс!$I$20,IF(AND($AB34="Глянець",$AC34="Закрита пора",$AA34=1,$AD34="Ламінат",$F34=19),$AP34*Прайс!$I$21,IF(AND($AB34="Глянець",$AC34="Закрита пора",$AA34=2,$AD34="Ламінат",$F34=19),$AP34*Прайс!$I$22,IF(AND($AB34="Матове",$AC34="Відкрита пора",$AA34=1,$AD34="Матове",$AE34="Відкрита пора",$F34=19),$AP34*Прайс!$I$23,IF(AND($AB34="Матове",$AC34="Відкрита пора",$AA34=2,$AD34="Матове",$AE34="Відкрита пора",$F34=19),$AP34*Прайс!$I$24,IF(AND($AB34="Матове",$AC34="Закрита пора",$AA34=1,$AD34="Матове",$AE34="Відкрита пора",$F34=19),$AP34*Прайс!$I$25,IF(AND($AB34="Матове",$AC34="Закрита пора",$AA34=2,$AD34="Матове",$AE34="Відкрита пора",$F34=19),$AP34*Прайс!$I$26,IF(AND($AB34="Глянець",$AC34="Закрита пора",$AA34=1,$AD34="Матове",$AE34="Відкрита пора",$F34=19),$AP34*Прайс!$I$27,IF(AND($AB34="Глянець",$AC34="Закрита пора",$AA34=2,$AD34="Матове",$AE34="Відкрита пора",$F34=19),$AP34*Прайс!$I$28,0)))))))))))))</f>
        <v>0</v>
      </c>
      <c r="AJ34" s="210" t="str">
        <f>IF(Бланк!$AD34="","",Бланк!$AD34*E34)</f>
        <v/>
      </c>
      <c r="AK34" s="213" t="str">
        <f>IF(OR($AJ34=0,$AJ34=""),"",$AJ34*Прайс!$J$47)</f>
        <v/>
      </c>
      <c r="AL34" s="217"/>
      <c r="AM34" s="218"/>
      <c r="AN34" s="218"/>
      <c r="AO34" s="218"/>
      <c r="AP34" s="107">
        <f t="shared" si="1"/>
        <v>0</v>
      </c>
      <c r="AQ34" s="207"/>
    </row>
    <row r="35" spans="2:43" s="221" customFormat="1" ht="20.25" x14ac:dyDescent="0.3">
      <c r="B35" s="219">
        <v>15</v>
      </c>
      <c r="C35" s="209">
        <f>Бланк!C35</f>
        <v>0</v>
      </c>
      <c r="D35" s="209">
        <f>Бланк!D35</f>
        <v>0</v>
      </c>
      <c r="E35" s="209">
        <f>Бланк!E35</f>
        <v>0</v>
      </c>
      <c r="F35" s="209">
        <f>Бланк!F35</f>
        <v>0</v>
      </c>
      <c r="G35" s="209"/>
      <c r="H35" s="212"/>
      <c r="I35" s="210" t="str">
        <f>IF(Бланк!$I35="","",Бланк!$I35)</f>
        <v/>
      </c>
      <c r="J35" s="211" t="str">
        <f>IF(OR($C35="",$C35=0),"",IF($I35="Пряма з чвертю",(Прайс!$J$42+Прайс!$J$44)*Просчёт!$E35,IF($I35="Пряма без чверті",Просчёт!$E35*Прайс!$J$42,"")))</f>
        <v/>
      </c>
      <c r="K35" s="210" t="str">
        <f>IF(Бланк!$K35="","",Бланк!$K35)</f>
        <v/>
      </c>
      <c r="L35" s="212" t="str">
        <f>IF(Бланк!$J35="","",Бланк!$J35/1000)</f>
        <v/>
      </c>
      <c r="M35" s="213" t="str">
        <f t="shared" si="0"/>
        <v/>
      </c>
      <c r="N35" s="213" t="str">
        <f>IF($K35="","",IF(OR($K35="J № 1",$K35="J № 2",$K35="J № 2L",$K35="J № 2R",$K35="AJ № 2",$K35="AJ № 2L",$K35="AJ № 2R",$K35="U",$K35="V"),$L35*$E35*Прайс!$J$45,IF(OR($K35="AJ № 3R",$K35="AJ № 4R",$K35="AJ № 5R",$K35="AJ № 3L",$K35="AJ № 4L",$K35="AJ № 5L",$K35="AJ № 3",$K35="AJ № 4",$K35="AJ № 5",$K35="J № 3",$K35="J № 4",$K35="J № 5",$K35="J № 6",$K35="J № 7",$K35="L",$K35="AL"),Прайс!$J$45*$E35,IF(OR($K35="J № 3L",$K35="J № 3R",$K35="J № 4L",$K35="J № 4R",$K35="J № 5L",$K35="J № 5R"),$L35/2*Прайс!$J$45*$E35,IF($K35="45 град.",$L35*Прайс!$J$50*$E35,0)))))</f>
        <v/>
      </c>
      <c r="O35" s="210" t="str">
        <f>IF(Бланк!$L35="","",Бланк!$L35)</f>
        <v/>
      </c>
      <c r="P35" s="210" t="str">
        <f>IF(Бланк!$M35="","",Бланк!$M35)</f>
        <v/>
      </c>
      <c r="Q35" s="214"/>
      <c r="R35" s="215"/>
      <c r="S35" s="210" t="str">
        <f>IF(Бланк!$P35="","",Бланк!$P35)</f>
        <v/>
      </c>
      <c r="T35" s="209" t="str">
        <f>IF($S35="","",VLOOKUP($S35,Лист1!$S$5:$T$32,2,FALSE))</f>
        <v/>
      </c>
      <c r="U35" s="215"/>
      <c r="V35" s="212"/>
      <c r="W35" s="212"/>
      <c r="X35" s="212"/>
      <c r="Y35" s="212"/>
      <c r="Z35" s="209"/>
      <c r="AA35" s="209" t="e">
        <f>VLOOKUP($S35,Прайс!$C$62:$E$90,3,FALSE)</f>
        <v>#N/A</v>
      </c>
      <c r="AB35" s="210" t="str">
        <f>IF(Бланк!$X35="","",Бланк!$X35)</f>
        <v/>
      </c>
      <c r="AC35" s="210" t="str">
        <f>IF(Бланк!$Y35="","",Бланк!$Y35)</f>
        <v/>
      </c>
      <c r="AD35" s="210" t="str">
        <f>IF(Бланк!$Z35="","",Бланк!$Z35)</f>
        <v/>
      </c>
      <c r="AE35" s="210" t="str">
        <f>IF(Бланк!$AA35="","",Бланк!$AA35)</f>
        <v/>
      </c>
      <c r="AF35" s="212"/>
      <c r="AG35" s="216"/>
      <c r="AH35" s="211">
        <f>IF(OR($C35=0,$C35=""),0,IF(AND($AB35="Матове",$AC35="Відкрита пора",$AA35=1,$AD35="Ламінат",OR($F35=4,$F35=6,$F35=8,$F35=10,$F35=16)),$AP35*Прайс!$G$17,IF(AND($AB35="Матове",$AC35="Відкрита пора",$AA35=2,$AD35="Ламінат",OR($F35=4,$F35=6,$F35=8,$F35=10,$F35=16)),$AP35*Прайс!$G$18,IF(AND($AB35="Матове",$AC35="Закрита пора",$AA35=1,$AD35="Ламінат",OR($F35=4,$F35=6,$F35=8,$F35=10,$F35=16)),$AP35*Прайс!$G$19,IF(AND($AB35="Матове",$AC35="Закрита пора",$AA35=2,$AD35="Ламінат",OR($F35=4,$F35=6,$F35=8,$F35=10,$F35=16)),$AP35*Прайс!$G$20,IF(AND($AB35="Глянець",$AC35="Закрита пора",$AA35=1,$AD35="Ламінат",OR($F35=4,$F35=6,$F35=8,$F35=10,$F35=16)),$AP35*Прайс!$G$21,IF(AND($AB35="Глянець",$AC35="Закрита пора",$AA35=2,$AD35="Ламінат",OR($F35=4,$F35=6,$F35=8,$F35=10,$F35=16)),$AP35*Прайс!$G$22,IF(AND($AB35="Матове",$AC35="Відкрита пора",$AA35=1,$AD35="Матове",$AE35="Відкрита пора",OR($F35=4,$F35=6,$F35=8,$F35=10,$F35=16)),$AP35*Прайс!$G$23,IF(AND($AB35="Матове",$AC35="Відкрита пора",$AA35=2,$AD35="Матове",$AE35="Відкрита пора",OR($F35=4,$F35=6,$F35=8,$F35=10,$F35=16)),$AP35*Прайс!$G$24,IF(AND($AB35="Матове",$AC35="Закрита пора",$AA35=1,$AD35="Матове",$AE35="Відкрита пора",OR($F35=4,$F35=6,$F35=8,$F35=10,$F35=16)),$AP35*Прайс!$G$25,IF(AND($AB35="Матове",$AC35="Закрита пора",$AA35=2,$AD35="Матове",$AE35="Відкрита пора",OR($F35=4,$F35=6,$F35=8,$F35=10,$F35=16)),$AP35*Прайс!$G$26,IF(AND($AB35="Глянець",$AC35="Закрита пора",$AA35=1,$AD35="Матове",$AE35="Відкрита пора",OR($F35=4,$F35=6,$F35=8,$F35=10,$F35=16)),$AP35*Прайс!$G$27,IF(AND($AB35="Глянець",$AC35="Закрита пора",$AA35=2,$AD35="Матове",$AE35="Відкрита пора",OR($F35=4,$F35=6,$F35=8,$F35=10,$F35=16)),$AP35*Прайс!$G$28,0)))))))))))))</f>
        <v>0</v>
      </c>
      <c r="AI35" s="211">
        <f>IF(OR($C35=0,$C35=""),0,IF(AND($AB35="Матове",$AC35="Відкрита пора",$AA35=1,$AD35="Ламінат",$F35=19),$AP35*Прайс!$I$17,IF(AND($AB35="Матове",$AC35="Відкрита пора",$AA35=2,$AD35="Ламінат",$F35=19),$AP35*Прайс!$I$18,IF(AND($AB35="Матове",$AC35="Закрита пора",$AA35=1,$AD35="Ламінат",$F35=19),$AP35*Прайс!$I$19,IF(AND($AB35="Матове",$AC35="Закрита пора",$AA35=2,$AD35="Ламінат",$F35=19),$AP35*Прайс!$I$20,IF(AND($AB35="Глянець",$AC35="Закрита пора",$AA35=1,$AD35="Ламінат",$F35=19),$AP35*Прайс!$I$21,IF(AND($AB35="Глянець",$AC35="Закрита пора",$AA35=2,$AD35="Ламінат",$F35=19),$AP35*Прайс!$I$22,IF(AND($AB35="Матове",$AC35="Відкрита пора",$AA35=1,$AD35="Матове",$AE35="Відкрита пора",$F35=19),$AP35*Прайс!$I$23,IF(AND($AB35="Матове",$AC35="Відкрита пора",$AA35=2,$AD35="Матове",$AE35="Відкрита пора",$F35=19),$AP35*Прайс!$I$24,IF(AND($AB35="Матове",$AC35="Закрита пора",$AA35=1,$AD35="Матове",$AE35="Відкрита пора",$F35=19),$AP35*Прайс!$I$25,IF(AND($AB35="Матове",$AC35="Закрита пора",$AA35=2,$AD35="Матове",$AE35="Відкрита пора",$F35=19),$AP35*Прайс!$I$26,IF(AND($AB35="Глянець",$AC35="Закрита пора",$AA35=1,$AD35="Матове",$AE35="Відкрита пора",$F35=19),$AP35*Прайс!$I$27,IF(AND($AB35="Глянець",$AC35="Закрита пора",$AA35=2,$AD35="Матове",$AE35="Відкрита пора",$F35=19),$AP35*Прайс!$I$28,0)))))))))))))</f>
        <v>0</v>
      </c>
      <c r="AJ35" s="210" t="str">
        <f>IF(Бланк!$AD35="","",Бланк!$AD35*E35)</f>
        <v/>
      </c>
      <c r="AK35" s="213" t="str">
        <f>IF(OR($AJ35=0,$AJ35=""),"",$AJ35*Прайс!$J$47)</f>
        <v/>
      </c>
      <c r="AL35" s="217"/>
      <c r="AM35" s="218"/>
      <c r="AN35" s="218"/>
      <c r="AO35" s="218"/>
      <c r="AP35" s="107">
        <f t="shared" si="1"/>
        <v>0</v>
      </c>
      <c r="AQ35" s="207"/>
    </row>
    <row r="36" spans="2:43" s="221" customFormat="1" ht="20.25" x14ac:dyDescent="0.3">
      <c r="B36" s="219">
        <v>16</v>
      </c>
      <c r="C36" s="209">
        <f>Бланк!C36</f>
        <v>0</v>
      </c>
      <c r="D36" s="209">
        <f>Бланк!D36</f>
        <v>0</v>
      </c>
      <c r="E36" s="209">
        <f>Бланк!E36</f>
        <v>0</v>
      </c>
      <c r="F36" s="209">
        <f>Бланк!F36</f>
        <v>0</v>
      </c>
      <c r="G36" s="209"/>
      <c r="H36" s="212"/>
      <c r="I36" s="210" t="str">
        <f>IF(Бланк!$I36="","",Бланк!$I36)</f>
        <v/>
      </c>
      <c r="J36" s="211" t="str">
        <f>IF(OR($C36="",$C36=0),"",IF($I36="Пряма з чвертю",(Прайс!$J$42+Прайс!$J$44)*Просчёт!$E36,IF($I36="Пряма без чверті",Просчёт!$E36*Прайс!$J$42,"")))</f>
        <v/>
      </c>
      <c r="K36" s="210" t="str">
        <f>IF(Бланк!$K36="","",Бланк!$K36)</f>
        <v/>
      </c>
      <c r="L36" s="212" t="str">
        <f>IF(Бланк!$J36="","",Бланк!$J36/1000)</f>
        <v/>
      </c>
      <c r="M36" s="213" t="str">
        <f t="shared" si="0"/>
        <v/>
      </c>
      <c r="N36" s="213" t="str">
        <f>IF($K36="","",IF(OR($K36="J № 1",$K36="J № 2",$K36="J № 2L",$K36="J № 2R",$K36="AJ № 2",$K36="AJ № 2L",$K36="AJ № 2R",$K36="U",$K36="V"),$L36*$E36*Прайс!$J$45,IF(OR($K36="AJ № 3R",$K36="AJ № 4R",$K36="AJ № 5R",$K36="AJ № 3L",$K36="AJ № 4L",$K36="AJ № 5L",$K36="AJ № 3",$K36="AJ № 4",$K36="AJ № 5",$K36="J № 3",$K36="J № 4",$K36="J № 5",$K36="J № 6",$K36="J № 7",$K36="L",$K36="AL"),Прайс!$J$45*$E36,IF(OR($K36="J № 3L",$K36="J № 3R",$K36="J № 4L",$K36="J № 4R",$K36="J № 5L",$K36="J № 5R"),$L36/2*Прайс!$J$45*$E36,IF($K36="45 град.",$L36*Прайс!$J$50*$E36,0)))))</f>
        <v/>
      </c>
      <c r="O36" s="210" t="str">
        <f>IF(Бланк!$L36="","",Бланк!$L36)</f>
        <v/>
      </c>
      <c r="P36" s="210" t="str">
        <f>IF(Бланк!$M36="","",Бланк!$M36)</f>
        <v/>
      </c>
      <c r="Q36" s="214"/>
      <c r="R36" s="215"/>
      <c r="S36" s="210" t="str">
        <f>IF(Бланк!$P36="","",Бланк!$P36)</f>
        <v/>
      </c>
      <c r="T36" s="209" t="str">
        <f>IF($S36="","",VLOOKUP($S36,Лист1!$S$5:$T$32,2,FALSE))</f>
        <v/>
      </c>
      <c r="U36" s="215"/>
      <c r="V36" s="212"/>
      <c r="W36" s="212"/>
      <c r="X36" s="212"/>
      <c r="Y36" s="212"/>
      <c r="Z36" s="209"/>
      <c r="AA36" s="209" t="e">
        <f>VLOOKUP($S36,Прайс!$C$62:$E$90,3,FALSE)</f>
        <v>#N/A</v>
      </c>
      <c r="AB36" s="210" t="str">
        <f>IF(Бланк!$X36="","",Бланк!$X36)</f>
        <v/>
      </c>
      <c r="AC36" s="210" t="str">
        <f>IF(Бланк!$Y36="","",Бланк!$Y36)</f>
        <v/>
      </c>
      <c r="AD36" s="210" t="str">
        <f>IF(Бланк!$Z36="","",Бланк!$Z36)</f>
        <v/>
      </c>
      <c r="AE36" s="210" t="str">
        <f>IF(Бланк!$AA36="","",Бланк!$AA36)</f>
        <v/>
      </c>
      <c r="AF36" s="212"/>
      <c r="AG36" s="216"/>
      <c r="AH36" s="211">
        <f>IF(OR($C36=0,$C36=""),0,IF(AND($AB36="Матове",$AC36="Відкрита пора",$AA36=1,$AD36="Ламінат",OR($F36=4,$F36=6,$F36=8,$F36=10,$F36=16)),$AP36*Прайс!$G$17,IF(AND($AB36="Матове",$AC36="Відкрита пора",$AA36=2,$AD36="Ламінат",OR($F36=4,$F36=6,$F36=8,$F36=10,$F36=16)),$AP36*Прайс!$G$18,IF(AND($AB36="Матове",$AC36="Закрита пора",$AA36=1,$AD36="Ламінат",OR($F36=4,$F36=6,$F36=8,$F36=10,$F36=16)),$AP36*Прайс!$G$19,IF(AND($AB36="Матове",$AC36="Закрита пора",$AA36=2,$AD36="Ламінат",OR($F36=4,$F36=6,$F36=8,$F36=10,$F36=16)),$AP36*Прайс!$G$20,IF(AND($AB36="Глянець",$AC36="Закрита пора",$AA36=1,$AD36="Ламінат",OR($F36=4,$F36=6,$F36=8,$F36=10,$F36=16)),$AP36*Прайс!$G$21,IF(AND($AB36="Глянець",$AC36="Закрита пора",$AA36=2,$AD36="Ламінат",OR($F36=4,$F36=6,$F36=8,$F36=10,$F36=16)),$AP36*Прайс!$G$22,IF(AND($AB36="Матове",$AC36="Відкрита пора",$AA36=1,$AD36="Матове",$AE36="Відкрита пора",OR($F36=4,$F36=6,$F36=8,$F36=10,$F36=16)),$AP36*Прайс!$G$23,IF(AND($AB36="Матове",$AC36="Відкрита пора",$AA36=2,$AD36="Матове",$AE36="Відкрита пора",OR($F36=4,$F36=6,$F36=8,$F36=10,$F36=16)),$AP36*Прайс!$G$24,IF(AND($AB36="Матове",$AC36="Закрита пора",$AA36=1,$AD36="Матове",$AE36="Відкрита пора",OR($F36=4,$F36=6,$F36=8,$F36=10,$F36=16)),$AP36*Прайс!$G$25,IF(AND($AB36="Матове",$AC36="Закрита пора",$AA36=2,$AD36="Матове",$AE36="Відкрита пора",OR($F36=4,$F36=6,$F36=8,$F36=10,$F36=16)),$AP36*Прайс!$G$26,IF(AND($AB36="Глянець",$AC36="Закрита пора",$AA36=1,$AD36="Матове",$AE36="Відкрита пора",OR($F36=4,$F36=6,$F36=8,$F36=10,$F36=16)),$AP36*Прайс!$G$27,IF(AND($AB36="Глянець",$AC36="Закрита пора",$AA36=2,$AD36="Матове",$AE36="Відкрита пора",OR($F36=4,$F36=6,$F36=8,$F36=10,$F36=16)),$AP36*Прайс!$G$28,0)))))))))))))</f>
        <v>0</v>
      </c>
      <c r="AI36" s="211">
        <f>IF(OR($C36=0,$C36=""),0,IF(AND($AB36="Матове",$AC36="Відкрита пора",$AA36=1,$AD36="Ламінат",$F36=19),$AP36*Прайс!$I$17,IF(AND($AB36="Матове",$AC36="Відкрита пора",$AA36=2,$AD36="Ламінат",$F36=19),$AP36*Прайс!$I$18,IF(AND($AB36="Матове",$AC36="Закрита пора",$AA36=1,$AD36="Ламінат",$F36=19),$AP36*Прайс!$I$19,IF(AND($AB36="Матове",$AC36="Закрита пора",$AA36=2,$AD36="Ламінат",$F36=19),$AP36*Прайс!$I$20,IF(AND($AB36="Глянець",$AC36="Закрита пора",$AA36=1,$AD36="Ламінат",$F36=19),$AP36*Прайс!$I$21,IF(AND($AB36="Глянець",$AC36="Закрита пора",$AA36=2,$AD36="Ламінат",$F36=19),$AP36*Прайс!$I$22,IF(AND($AB36="Матове",$AC36="Відкрита пора",$AA36=1,$AD36="Матове",$AE36="Відкрита пора",$F36=19),$AP36*Прайс!$I$23,IF(AND($AB36="Матове",$AC36="Відкрита пора",$AA36=2,$AD36="Матове",$AE36="Відкрита пора",$F36=19),$AP36*Прайс!$I$24,IF(AND($AB36="Матове",$AC36="Закрита пора",$AA36=1,$AD36="Матове",$AE36="Відкрита пора",$F36=19),$AP36*Прайс!$I$25,IF(AND($AB36="Матове",$AC36="Закрита пора",$AA36=2,$AD36="Матове",$AE36="Відкрита пора",$F36=19),$AP36*Прайс!$I$26,IF(AND($AB36="Глянець",$AC36="Закрита пора",$AA36=1,$AD36="Матове",$AE36="Відкрита пора",$F36=19),$AP36*Прайс!$I$27,IF(AND($AB36="Глянець",$AC36="Закрита пора",$AA36=2,$AD36="Матове",$AE36="Відкрита пора",$F36=19),$AP36*Прайс!$I$28,0)))))))))))))</f>
        <v>0</v>
      </c>
      <c r="AJ36" s="210" t="str">
        <f>IF(Бланк!$AD36="","",Бланк!$AD36*E36)</f>
        <v/>
      </c>
      <c r="AK36" s="213" t="str">
        <f>IF(OR($AJ36=0,$AJ36=""),"",$AJ36*Прайс!$J$47)</f>
        <v/>
      </c>
      <c r="AL36" s="217"/>
      <c r="AM36" s="218"/>
      <c r="AN36" s="218"/>
      <c r="AO36" s="218"/>
      <c r="AP36" s="107">
        <f t="shared" si="1"/>
        <v>0</v>
      </c>
      <c r="AQ36" s="207"/>
    </row>
    <row r="37" spans="2:43" s="221" customFormat="1" ht="20.25" x14ac:dyDescent="0.3">
      <c r="B37" s="219">
        <v>17</v>
      </c>
      <c r="C37" s="209">
        <f>Бланк!C37</f>
        <v>0</v>
      </c>
      <c r="D37" s="209">
        <f>Бланк!D37</f>
        <v>0</v>
      </c>
      <c r="E37" s="209">
        <f>Бланк!E37</f>
        <v>0</v>
      </c>
      <c r="F37" s="209">
        <f>Бланк!F37</f>
        <v>0</v>
      </c>
      <c r="G37" s="209"/>
      <c r="H37" s="212"/>
      <c r="I37" s="210" t="str">
        <f>IF(Бланк!$I37="","",Бланк!$I37)</f>
        <v/>
      </c>
      <c r="J37" s="211" t="str">
        <f>IF(OR($C37="",$C37=0),"",IF($I37="Пряма з чвертю",(Прайс!$J$42+Прайс!$J$44)*Просчёт!$E37,IF($I37="Пряма без чверті",Просчёт!$E37*Прайс!$J$42,"")))</f>
        <v/>
      </c>
      <c r="K37" s="210" t="str">
        <f>IF(Бланк!$K37="","",Бланк!$K37)</f>
        <v/>
      </c>
      <c r="L37" s="212" t="str">
        <f>IF(Бланк!$J37="","",Бланк!$J37/1000)</f>
        <v/>
      </c>
      <c r="M37" s="213" t="str">
        <f t="shared" si="0"/>
        <v/>
      </c>
      <c r="N37" s="213" t="str">
        <f>IF($K37="","",IF(OR($K37="J № 1",$K37="J № 2",$K37="J № 2L",$K37="J № 2R",$K37="AJ № 2",$K37="AJ № 2L",$K37="AJ № 2R",$K37="U",$K37="V"),$L37*$E37*Прайс!$J$45,IF(OR($K37="AJ № 3R",$K37="AJ № 4R",$K37="AJ № 5R",$K37="AJ № 3L",$K37="AJ № 4L",$K37="AJ № 5L",$K37="AJ № 3",$K37="AJ № 4",$K37="AJ № 5",$K37="J № 3",$K37="J № 4",$K37="J № 5",$K37="J № 6",$K37="J № 7",$K37="L",$K37="AL"),Прайс!$J$45*$E37,IF(OR($K37="J № 3L",$K37="J № 3R",$K37="J № 4L",$K37="J № 4R",$K37="J № 5L",$K37="J № 5R"),$L37/2*Прайс!$J$45*$E37,IF($K37="45 град.",$L37*Прайс!$J$50*$E37,0)))))</f>
        <v/>
      </c>
      <c r="O37" s="210" t="str">
        <f>IF(Бланк!$L37="","",Бланк!$L37)</f>
        <v/>
      </c>
      <c r="P37" s="210" t="str">
        <f>IF(Бланк!$M37="","",Бланк!$M37)</f>
        <v/>
      </c>
      <c r="Q37" s="214"/>
      <c r="R37" s="215"/>
      <c r="S37" s="210" t="str">
        <f>IF(Бланк!$P37="","",Бланк!$P37)</f>
        <v/>
      </c>
      <c r="T37" s="209" t="str">
        <f>IF($S37="","",VLOOKUP($S37,Лист1!$S$5:$T$32,2,FALSE))</f>
        <v/>
      </c>
      <c r="U37" s="215"/>
      <c r="V37" s="212"/>
      <c r="W37" s="212"/>
      <c r="X37" s="212"/>
      <c r="Y37" s="212"/>
      <c r="Z37" s="209"/>
      <c r="AA37" s="209" t="e">
        <f>VLOOKUP($S37,Прайс!$C$62:$E$90,3,FALSE)</f>
        <v>#N/A</v>
      </c>
      <c r="AB37" s="210" t="str">
        <f>IF(Бланк!$X37="","",Бланк!$X37)</f>
        <v/>
      </c>
      <c r="AC37" s="210" t="str">
        <f>IF(Бланк!$Y37="","",Бланк!$Y37)</f>
        <v/>
      </c>
      <c r="AD37" s="210" t="str">
        <f>IF(Бланк!$Z37="","",Бланк!$Z37)</f>
        <v/>
      </c>
      <c r="AE37" s="210" t="str">
        <f>IF(Бланк!$AA37="","",Бланк!$AA37)</f>
        <v/>
      </c>
      <c r="AF37" s="212"/>
      <c r="AG37" s="216"/>
      <c r="AH37" s="211">
        <f>IF(OR($C37=0,$C37=""),0,IF(AND($AB37="Матове",$AC37="Відкрита пора",$AA37=1,$AD37="Ламінат",OR($F37=4,$F37=6,$F37=8,$F37=10,$F37=16)),$AP37*Прайс!$G$17,IF(AND($AB37="Матове",$AC37="Відкрита пора",$AA37=2,$AD37="Ламінат",OR($F37=4,$F37=6,$F37=8,$F37=10,$F37=16)),$AP37*Прайс!$G$18,IF(AND($AB37="Матове",$AC37="Закрита пора",$AA37=1,$AD37="Ламінат",OR($F37=4,$F37=6,$F37=8,$F37=10,$F37=16)),$AP37*Прайс!$G$19,IF(AND($AB37="Матове",$AC37="Закрита пора",$AA37=2,$AD37="Ламінат",OR($F37=4,$F37=6,$F37=8,$F37=10,$F37=16)),$AP37*Прайс!$G$20,IF(AND($AB37="Глянець",$AC37="Закрита пора",$AA37=1,$AD37="Ламінат",OR($F37=4,$F37=6,$F37=8,$F37=10,$F37=16)),$AP37*Прайс!$G$21,IF(AND($AB37="Глянець",$AC37="Закрита пора",$AA37=2,$AD37="Ламінат",OR($F37=4,$F37=6,$F37=8,$F37=10,$F37=16)),$AP37*Прайс!$G$22,IF(AND($AB37="Матове",$AC37="Відкрита пора",$AA37=1,$AD37="Матове",$AE37="Відкрита пора",OR($F37=4,$F37=6,$F37=8,$F37=10,$F37=16)),$AP37*Прайс!$G$23,IF(AND($AB37="Матове",$AC37="Відкрита пора",$AA37=2,$AD37="Матове",$AE37="Відкрита пора",OR($F37=4,$F37=6,$F37=8,$F37=10,$F37=16)),$AP37*Прайс!$G$24,IF(AND($AB37="Матове",$AC37="Закрита пора",$AA37=1,$AD37="Матове",$AE37="Відкрита пора",OR($F37=4,$F37=6,$F37=8,$F37=10,$F37=16)),$AP37*Прайс!$G$25,IF(AND($AB37="Матове",$AC37="Закрита пора",$AA37=2,$AD37="Матове",$AE37="Відкрита пора",OR($F37=4,$F37=6,$F37=8,$F37=10,$F37=16)),$AP37*Прайс!$G$26,IF(AND($AB37="Глянець",$AC37="Закрита пора",$AA37=1,$AD37="Матове",$AE37="Відкрита пора",OR($F37=4,$F37=6,$F37=8,$F37=10,$F37=16)),$AP37*Прайс!$G$27,IF(AND($AB37="Глянець",$AC37="Закрита пора",$AA37=2,$AD37="Матове",$AE37="Відкрита пора",OR($F37=4,$F37=6,$F37=8,$F37=10,$F37=16)),$AP37*Прайс!$G$28,0)))))))))))))</f>
        <v>0</v>
      </c>
      <c r="AI37" s="211">
        <f>IF(OR($C37=0,$C37=""),0,IF(AND($AB37="Матове",$AC37="Відкрита пора",$AA37=1,$AD37="Ламінат",$F37=19),$AP37*Прайс!$I$17,IF(AND($AB37="Матове",$AC37="Відкрита пора",$AA37=2,$AD37="Ламінат",$F37=19),$AP37*Прайс!$I$18,IF(AND($AB37="Матове",$AC37="Закрита пора",$AA37=1,$AD37="Ламінат",$F37=19),$AP37*Прайс!$I$19,IF(AND($AB37="Матове",$AC37="Закрита пора",$AA37=2,$AD37="Ламінат",$F37=19),$AP37*Прайс!$I$20,IF(AND($AB37="Глянець",$AC37="Закрита пора",$AA37=1,$AD37="Ламінат",$F37=19),$AP37*Прайс!$I$21,IF(AND($AB37="Глянець",$AC37="Закрита пора",$AA37=2,$AD37="Ламінат",$F37=19),$AP37*Прайс!$I$22,IF(AND($AB37="Матове",$AC37="Відкрита пора",$AA37=1,$AD37="Матове",$AE37="Відкрита пора",$F37=19),$AP37*Прайс!$I$23,IF(AND($AB37="Матове",$AC37="Відкрита пора",$AA37=2,$AD37="Матове",$AE37="Відкрита пора",$F37=19),$AP37*Прайс!$I$24,IF(AND($AB37="Матове",$AC37="Закрита пора",$AA37=1,$AD37="Матове",$AE37="Відкрита пора",$F37=19),$AP37*Прайс!$I$25,IF(AND($AB37="Матове",$AC37="Закрита пора",$AA37=2,$AD37="Матове",$AE37="Відкрита пора",$F37=19),$AP37*Прайс!$I$26,IF(AND($AB37="Глянець",$AC37="Закрита пора",$AA37=1,$AD37="Матове",$AE37="Відкрита пора",$F37=19),$AP37*Прайс!$I$27,IF(AND($AB37="Глянець",$AC37="Закрита пора",$AA37=2,$AD37="Матове",$AE37="Відкрита пора",$F37=19),$AP37*Прайс!$I$28,0)))))))))))))</f>
        <v>0</v>
      </c>
      <c r="AJ37" s="210" t="str">
        <f>IF(Бланк!$AD37="","",Бланк!$AD37*E37)</f>
        <v/>
      </c>
      <c r="AK37" s="213" t="str">
        <f>IF(OR($AJ37=0,$AJ37=""),"",$AJ37*Прайс!$J$47)</f>
        <v/>
      </c>
      <c r="AL37" s="217"/>
      <c r="AM37" s="222"/>
      <c r="AN37" s="222"/>
      <c r="AO37" s="218"/>
      <c r="AP37" s="107">
        <f t="shared" si="1"/>
        <v>0</v>
      </c>
      <c r="AQ37" s="207"/>
    </row>
    <row r="38" spans="2:43" s="221" customFormat="1" ht="20.25" x14ac:dyDescent="0.3">
      <c r="B38" s="219">
        <v>18</v>
      </c>
      <c r="C38" s="209">
        <f>Бланк!C38</f>
        <v>0</v>
      </c>
      <c r="D38" s="209">
        <f>Бланк!D38</f>
        <v>0</v>
      </c>
      <c r="E38" s="209">
        <f>Бланк!E38</f>
        <v>0</v>
      </c>
      <c r="F38" s="209">
        <f>Бланк!F38</f>
        <v>0</v>
      </c>
      <c r="G38" s="209"/>
      <c r="H38" s="212"/>
      <c r="I38" s="210" t="str">
        <f>IF(Бланк!$I38="","",Бланк!$I38)</f>
        <v/>
      </c>
      <c r="J38" s="211" t="str">
        <f>IF(OR($C38="",$C38=0),"",IF($I38="Пряма з чвертю",(Прайс!$J$42+Прайс!$J$44)*Просчёт!$E38,IF($I38="Пряма без чверті",Просчёт!$E38*Прайс!$J$42,"")))</f>
        <v/>
      </c>
      <c r="K38" s="210" t="str">
        <f>IF(Бланк!$K38="","",Бланк!$K38)</f>
        <v/>
      </c>
      <c r="L38" s="212" t="str">
        <f>IF(Бланк!$J38="","",Бланк!$J38/1000)</f>
        <v/>
      </c>
      <c r="M38" s="213" t="str">
        <f t="shared" si="0"/>
        <v/>
      </c>
      <c r="N38" s="213" t="str">
        <f>IF($K38="","",IF(OR($K38="J № 1",$K38="J № 2",$K38="J № 2L",$K38="J № 2R",$K38="AJ № 2",$K38="AJ № 2L",$K38="AJ № 2R",$K38="U",$K38="V"),$L38*$E38*Прайс!$J$45,IF(OR($K38="AJ № 3R",$K38="AJ № 4R",$K38="AJ № 5R",$K38="AJ № 3L",$K38="AJ № 4L",$K38="AJ № 5L",$K38="AJ № 3",$K38="AJ № 4",$K38="AJ № 5",$K38="J № 3",$K38="J № 4",$K38="J № 5",$K38="J № 6",$K38="J № 7",$K38="L",$K38="AL"),Прайс!$J$45*$E38,IF(OR($K38="J № 3L",$K38="J № 3R",$K38="J № 4L",$K38="J № 4R",$K38="J № 5L",$K38="J № 5R"),$L38/2*Прайс!$J$45*$E38,IF($K38="45 град.",$L38*Прайс!$J$50*$E38,0)))))</f>
        <v/>
      </c>
      <c r="O38" s="210" t="str">
        <f>IF(Бланк!$L38="","",Бланк!$L38)</f>
        <v/>
      </c>
      <c r="P38" s="210" t="str">
        <f>IF(Бланк!$M38="","",Бланк!$M38)</f>
        <v/>
      </c>
      <c r="Q38" s="214"/>
      <c r="R38" s="215"/>
      <c r="S38" s="210" t="str">
        <f>IF(Бланк!$P38="","",Бланк!$P38)</f>
        <v/>
      </c>
      <c r="T38" s="209" t="str">
        <f>IF($S38="","",VLOOKUP($S38,Лист1!$S$5:$T$32,2,FALSE))</f>
        <v/>
      </c>
      <c r="U38" s="215"/>
      <c r="V38" s="212"/>
      <c r="W38" s="212"/>
      <c r="X38" s="212"/>
      <c r="Y38" s="212"/>
      <c r="Z38" s="209"/>
      <c r="AA38" s="209" t="e">
        <f>VLOOKUP($S38,Прайс!$C$62:$E$90,3,FALSE)</f>
        <v>#N/A</v>
      </c>
      <c r="AB38" s="210" t="str">
        <f>IF(Бланк!$X38="","",Бланк!$X38)</f>
        <v/>
      </c>
      <c r="AC38" s="210" t="str">
        <f>IF(Бланк!$Y38="","",Бланк!$Y38)</f>
        <v/>
      </c>
      <c r="AD38" s="210" t="str">
        <f>IF(Бланк!$Z38="","",Бланк!$Z38)</f>
        <v/>
      </c>
      <c r="AE38" s="210" t="str">
        <f>IF(Бланк!$AA38="","",Бланк!$AA38)</f>
        <v/>
      </c>
      <c r="AF38" s="212"/>
      <c r="AG38" s="216"/>
      <c r="AH38" s="211">
        <f>IF(OR($C38=0,$C38=""),0,IF(AND($AB38="Матове",$AC38="Відкрита пора",$AA38=1,$AD38="Ламінат",OR($F38=4,$F38=6,$F38=8,$F38=10,$F38=16)),$AP38*Прайс!$G$17,IF(AND($AB38="Матове",$AC38="Відкрита пора",$AA38=2,$AD38="Ламінат",OR($F38=4,$F38=6,$F38=8,$F38=10,$F38=16)),$AP38*Прайс!$G$18,IF(AND($AB38="Матове",$AC38="Закрита пора",$AA38=1,$AD38="Ламінат",OR($F38=4,$F38=6,$F38=8,$F38=10,$F38=16)),$AP38*Прайс!$G$19,IF(AND($AB38="Матове",$AC38="Закрита пора",$AA38=2,$AD38="Ламінат",OR($F38=4,$F38=6,$F38=8,$F38=10,$F38=16)),$AP38*Прайс!$G$20,IF(AND($AB38="Глянець",$AC38="Закрита пора",$AA38=1,$AD38="Ламінат",OR($F38=4,$F38=6,$F38=8,$F38=10,$F38=16)),$AP38*Прайс!$G$21,IF(AND($AB38="Глянець",$AC38="Закрита пора",$AA38=2,$AD38="Ламінат",OR($F38=4,$F38=6,$F38=8,$F38=10,$F38=16)),$AP38*Прайс!$G$22,IF(AND($AB38="Матове",$AC38="Відкрита пора",$AA38=1,$AD38="Матове",$AE38="Відкрита пора",OR($F38=4,$F38=6,$F38=8,$F38=10,$F38=16)),$AP38*Прайс!$G$23,IF(AND($AB38="Матове",$AC38="Відкрита пора",$AA38=2,$AD38="Матове",$AE38="Відкрита пора",OR($F38=4,$F38=6,$F38=8,$F38=10,$F38=16)),$AP38*Прайс!$G$24,IF(AND($AB38="Матове",$AC38="Закрита пора",$AA38=1,$AD38="Матове",$AE38="Відкрита пора",OR($F38=4,$F38=6,$F38=8,$F38=10,$F38=16)),$AP38*Прайс!$G$25,IF(AND($AB38="Матове",$AC38="Закрита пора",$AA38=2,$AD38="Матове",$AE38="Відкрита пора",OR($F38=4,$F38=6,$F38=8,$F38=10,$F38=16)),$AP38*Прайс!$G$26,IF(AND($AB38="Глянець",$AC38="Закрита пора",$AA38=1,$AD38="Матове",$AE38="Відкрита пора",OR($F38=4,$F38=6,$F38=8,$F38=10,$F38=16)),$AP38*Прайс!$G$27,IF(AND($AB38="Глянець",$AC38="Закрита пора",$AA38=2,$AD38="Матове",$AE38="Відкрита пора",OR($F38=4,$F38=6,$F38=8,$F38=10,$F38=16)),$AP38*Прайс!$G$28,0)))))))))))))</f>
        <v>0</v>
      </c>
      <c r="AI38" s="211">
        <f>IF(OR($C38=0,$C38=""),0,IF(AND($AB38="Матове",$AC38="Відкрита пора",$AA38=1,$AD38="Ламінат",$F38=19),$AP38*Прайс!$I$17,IF(AND($AB38="Матове",$AC38="Відкрита пора",$AA38=2,$AD38="Ламінат",$F38=19),$AP38*Прайс!$I$18,IF(AND($AB38="Матове",$AC38="Закрита пора",$AA38=1,$AD38="Ламінат",$F38=19),$AP38*Прайс!$I$19,IF(AND($AB38="Матове",$AC38="Закрита пора",$AA38=2,$AD38="Ламінат",$F38=19),$AP38*Прайс!$I$20,IF(AND($AB38="Глянець",$AC38="Закрита пора",$AA38=1,$AD38="Ламінат",$F38=19),$AP38*Прайс!$I$21,IF(AND($AB38="Глянець",$AC38="Закрита пора",$AA38=2,$AD38="Ламінат",$F38=19),$AP38*Прайс!$I$22,IF(AND($AB38="Матове",$AC38="Відкрита пора",$AA38=1,$AD38="Матове",$AE38="Відкрита пора",$F38=19),$AP38*Прайс!$I$23,IF(AND($AB38="Матове",$AC38="Відкрита пора",$AA38=2,$AD38="Матове",$AE38="Відкрита пора",$F38=19),$AP38*Прайс!$I$24,IF(AND($AB38="Матове",$AC38="Закрита пора",$AA38=1,$AD38="Матове",$AE38="Відкрита пора",$F38=19),$AP38*Прайс!$I$25,IF(AND($AB38="Матове",$AC38="Закрита пора",$AA38=2,$AD38="Матове",$AE38="Відкрита пора",$F38=19),$AP38*Прайс!$I$26,IF(AND($AB38="Глянець",$AC38="Закрита пора",$AA38=1,$AD38="Матове",$AE38="Відкрита пора",$F38=19),$AP38*Прайс!$I$27,IF(AND($AB38="Глянець",$AC38="Закрита пора",$AA38=2,$AD38="Матове",$AE38="Відкрита пора",$F38=19),$AP38*Прайс!$I$28,0)))))))))))))</f>
        <v>0</v>
      </c>
      <c r="AJ38" s="210" t="str">
        <f>IF(Бланк!$AD38="","",Бланк!$AD38*E38)</f>
        <v/>
      </c>
      <c r="AK38" s="213" t="str">
        <f>IF(OR($AJ38=0,$AJ38=""),"",$AJ38*Прайс!$J$47)</f>
        <v/>
      </c>
      <c r="AL38" s="217"/>
      <c r="AM38" s="222"/>
      <c r="AN38" s="222"/>
      <c r="AO38" s="218"/>
      <c r="AP38" s="107">
        <f t="shared" si="1"/>
        <v>0</v>
      </c>
      <c r="AQ38" s="207"/>
    </row>
    <row r="39" spans="2:43" s="221" customFormat="1" ht="20.25" x14ac:dyDescent="0.3">
      <c r="B39" s="219">
        <v>19</v>
      </c>
      <c r="C39" s="209">
        <f>Бланк!C39</f>
        <v>0</v>
      </c>
      <c r="D39" s="209">
        <f>Бланк!D39</f>
        <v>0</v>
      </c>
      <c r="E39" s="209">
        <f>Бланк!E39</f>
        <v>0</v>
      </c>
      <c r="F39" s="209">
        <f>Бланк!F39</f>
        <v>0</v>
      </c>
      <c r="G39" s="209"/>
      <c r="H39" s="212"/>
      <c r="I39" s="210" t="str">
        <f>IF(Бланк!$I39="","",Бланк!$I39)</f>
        <v/>
      </c>
      <c r="J39" s="211" t="str">
        <f>IF(OR($C39="",$C39=0),"",IF($I39="Пряма з чвертю",(Прайс!$J$42+Прайс!$J$44)*Просчёт!$E39,IF($I39="Пряма без чверті",Просчёт!$E39*Прайс!$J$42,"")))</f>
        <v/>
      </c>
      <c r="K39" s="210" t="str">
        <f>IF(Бланк!$K39="","",Бланк!$K39)</f>
        <v/>
      </c>
      <c r="L39" s="212" t="str">
        <f>IF(Бланк!$J39="","",Бланк!$J39/1000)</f>
        <v/>
      </c>
      <c r="M39" s="213" t="str">
        <f t="shared" si="0"/>
        <v/>
      </c>
      <c r="N39" s="213" t="str">
        <f>IF($K39="","",IF(OR($K39="J № 1",$K39="J № 2",$K39="J № 2L",$K39="J № 2R",$K39="AJ № 2",$K39="AJ № 2L",$K39="AJ № 2R",$K39="U",$K39="V"),$L39*$E39*Прайс!$J$45,IF(OR($K39="AJ № 3R",$K39="AJ № 4R",$K39="AJ № 5R",$K39="AJ № 3L",$K39="AJ № 4L",$K39="AJ № 5L",$K39="AJ № 3",$K39="AJ № 4",$K39="AJ № 5",$K39="J № 3",$K39="J № 4",$K39="J № 5",$K39="J № 6",$K39="J № 7",$K39="L",$K39="AL"),Прайс!$J$45*$E39,IF(OR($K39="J № 3L",$K39="J № 3R",$K39="J № 4L",$K39="J № 4R",$K39="J № 5L",$K39="J № 5R"),$L39/2*Прайс!$J$45*$E39,IF($K39="45 град.",$L39*Прайс!$J$50*$E39,0)))))</f>
        <v/>
      </c>
      <c r="O39" s="210" t="str">
        <f>IF(Бланк!$L39="","",Бланк!$L39)</f>
        <v/>
      </c>
      <c r="P39" s="210" t="str">
        <f>IF(Бланк!$M39="","",Бланк!$M39)</f>
        <v/>
      </c>
      <c r="Q39" s="214"/>
      <c r="R39" s="215"/>
      <c r="S39" s="210" t="str">
        <f>IF(Бланк!$P39="","",Бланк!$P39)</f>
        <v/>
      </c>
      <c r="T39" s="209" t="str">
        <f>IF($S39="","",VLOOKUP($S39,Лист1!$S$5:$T$32,2,FALSE))</f>
        <v/>
      </c>
      <c r="U39" s="215"/>
      <c r="V39" s="212"/>
      <c r="W39" s="212"/>
      <c r="X39" s="212"/>
      <c r="Y39" s="212"/>
      <c r="Z39" s="209"/>
      <c r="AA39" s="209" t="e">
        <f>VLOOKUP($S39,Прайс!$C$62:$E$90,3,FALSE)</f>
        <v>#N/A</v>
      </c>
      <c r="AB39" s="210" t="str">
        <f>IF(Бланк!$X39="","",Бланк!$X39)</f>
        <v/>
      </c>
      <c r="AC39" s="210" t="str">
        <f>IF(Бланк!$Y39="","",Бланк!$Y39)</f>
        <v/>
      </c>
      <c r="AD39" s="210" t="str">
        <f>IF(Бланк!$Z39="","",Бланк!$Z39)</f>
        <v/>
      </c>
      <c r="AE39" s="210" t="str">
        <f>IF(Бланк!$AA39="","",Бланк!$AA39)</f>
        <v/>
      </c>
      <c r="AF39" s="212"/>
      <c r="AG39" s="216"/>
      <c r="AH39" s="211">
        <f>IF(OR($C39=0,$C39=""),0,IF(AND($AB39="Матове",$AC39="Відкрита пора",$AA39=1,$AD39="Ламінат",OR($F39=4,$F39=6,$F39=8,$F39=10,$F39=16)),$AP39*Прайс!$G$17,IF(AND($AB39="Матове",$AC39="Відкрита пора",$AA39=2,$AD39="Ламінат",OR($F39=4,$F39=6,$F39=8,$F39=10,$F39=16)),$AP39*Прайс!$G$18,IF(AND($AB39="Матове",$AC39="Закрита пора",$AA39=1,$AD39="Ламінат",OR($F39=4,$F39=6,$F39=8,$F39=10,$F39=16)),$AP39*Прайс!$G$19,IF(AND($AB39="Матове",$AC39="Закрита пора",$AA39=2,$AD39="Ламінат",OR($F39=4,$F39=6,$F39=8,$F39=10,$F39=16)),$AP39*Прайс!$G$20,IF(AND($AB39="Глянець",$AC39="Закрита пора",$AA39=1,$AD39="Ламінат",OR($F39=4,$F39=6,$F39=8,$F39=10,$F39=16)),$AP39*Прайс!$G$21,IF(AND($AB39="Глянець",$AC39="Закрита пора",$AA39=2,$AD39="Ламінат",OR($F39=4,$F39=6,$F39=8,$F39=10,$F39=16)),$AP39*Прайс!$G$22,IF(AND($AB39="Матове",$AC39="Відкрита пора",$AA39=1,$AD39="Матове",$AE39="Відкрита пора",OR($F39=4,$F39=6,$F39=8,$F39=10,$F39=16)),$AP39*Прайс!$G$23,IF(AND($AB39="Матове",$AC39="Відкрита пора",$AA39=2,$AD39="Матове",$AE39="Відкрита пора",OR($F39=4,$F39=6,$F39=8,$F39=10,$F39=16)),$AP39*Прайс!$G$24,IF(AND($AB39="Матове",$AC39="Закрита пора",$AA39=1,$AD39="Матове",$AE39="Відкрита пора",OR($F39=4,$F39=6,$F39=8,$F39=10,$F39=16)),$AP39*Прайс!$G$25,IF(AND($AB39="Матове",$AC39="Закрита пора",$AA39=2,$AD39="Матове",$AE39="Відкрита пора",OR($F39=4,$F39=6,$F39=8,$F39=10,$F39=16)),$AP39*Прайс!$G$26,IF(AND($AB39="Глянець",$AC39="Закрита пора",$AA39=1,$AD39="Матове",$AE39="Відкрита пора",OR($F39=4,$F39=6,$F39=8,$F39=10,$F39=16)),$AP39*Прайс!$G$27,IF(AND($AB39="Глянець",$AC39="Закрита пора",$AA39=2,$AD39="Матове",$AE39="Відкрита пора",OR($F39=4,$F39=6,$F39=8,$F39=10,$F39=16)),$AP39*Прайс!$G$28,0)))))))))))))</f>
        <v>0</v>
      </c>
      <c r="AI39" s="211">
        <f>IF(OR($C39=0,$C39=""),0,IF(AND($AB39="Матове",$AC39="Відкрита пора",$AA39=1,$AD39="Ламінат",$F39=19),$AP39*Прайс!$I$17,IF(AND($AB39="Матове",$AC39="Відкрита пора",$AA39=2,$AD39="Ламінат",$F39=19),$AP39*Прайс!$I$18,IF(AND($AB39="Матове",$AC39="Закрита пора",$AA39=1,$AD39="Ламінат",$F39=19),$AP39*Прайс!$I$19,IF(AND($AB39="Матове",$AC39="Закрита пора",$AA39=2,$AD39="Ламінат",$F39=19),$AP39*Прайс!$I$20,IF(AND($AB39="Глянець",$AC39="Закрита пора",$AA39=1,$AD39="Ламінат",$F39=19),$AP39*Прайс!$I$21,IF(AND($AB39="Глянець",$AC39="Закрита пора",$AA39=2,$AD39="Ламінат",$F39=19),$AP39*Прайс!$I$22,IF(AND($AB39="Матове",$AC39="Відкрита пора",$AA39=1,$AD39="Матове",$AE39="Відкрита пора",$F39=19),$AP39*Прайс!$I$23,IF(AND($AB39="Матове",$AC39="Відкрита пора",$AA39=2,$AD39="Матове",$AE39="Відкрита пора",$F39=19),$AP39*Прайс!$I$24,IF(AND($AB39="Матове",$AC39="Закрита пора",$AA39=1,$AD39="Матове",$AE39="Відкрита пора",$F39=19),$AP39*Прайс!$I$25,IF(AND($AB39="Матове",$AC39="Закрита пора",$AA39=2,$AD39="Матове",$AE39="Відкрита пора",$F39=19),$AP39*Прайс!$I$26,IF(AND($AB39="Глянець",$AC39="Закрита пора",$AA39=1,$AD39="Матове",$AE39="Відкрита пора",$F39=19),$AP39*Прайс!$I$27,IF(AND($AB39="Глянець",$AC39="Закрита пора",$AA39=2,$AD39="Матове",$AE39="Відкрита пора",$F39=19),$AP39*Прайс!$I$28,0)))))))))))))</f>
        <v>0</v>
      </c>
      <c r="AJ39" s="210" t="str">
        <f>IF(Бланк!$AD39="","",Бланк!$AD39*E39)</f>
        <v/>
      </c>
      <c r="AK39" s="213" t="str">
        <f>IF(OR($AJ39=0,$AJ39=""),"",$AJ39*Прайс!$J$47)</f>
        <v/>
      </c>
      <c r="AL39" s="217"/>
      <c r="AM39" s="222"/>
      <c r="AN39" s="222"/>
      <c r="AO39" s="218"/>
      <c r="AP39" s="107">
        <f t="shared" si="1"/>
        <v>0</v>
      </c>
      <c r="AQ39" s="207"/>
    </row>
    <row r="40" spans="2:43" s="221" customFormat="1" ht="20.25" x14ac:dyDescent="0.3">
      <c r="B40" s="219">
        <v>20</v>
      </c>
      <c r="C40" s="209">
        <f>Бланк!C40</f>
        <v>0</v>
      </c>
      <c r="D40" s="209">
        <f>Бланк!D40</f>
        <v>0</v>
      </c>
      <c r="E40" s="209">
        <f>Бланк!E40</f>
        <v>0</v>
      </c>
      <c r="F40" s="209">
        <f>Бланк!F40</f>
        <v>0</v>
      </c>
      <c r="G40" s="209"/>
      <c r="H40" s="212"/>
      <c r="I40" s="210" t="str">
        <f>IF(Бланк!$I40="","",Бланк!$I40)</f>
        <v/>
      </c>
      <c r="J40" s="211" t="str">
        <f>IF(OR($C40="",$C40=0),"",IF($I40="Пряма з чвертю",(Прайс!$J$42+Прайс!$J$44)*Просчёт!$E40,IF($I40="Пряма без чверті",Просчёт!$E40*Прайс!$J$42,"")))</f>
        <v/>
      </c>
      <c r="K40" s="210" t="str">
        <f>IF(Бланк!$K40="","",Бланк!$K40)</f>
        <v/>
      </c>
      <c r="L40" s="212" t="str">
        <f>IF(Бланк!$J40="","",Бланк!$J40/1000)</f>
        <v/>
      </c>
      <c r="M40" s="213" t="str">
        <f t="shared" si="0"/>
        <v/>
      </c>
      <c r="N40" s="213" t="str">
        <f>IF($K40="","",IF(OR($K40="J № 1",$K40="J № 2",$K40="J № 2L",$K40="J № 2R",$K40="AJ № 2",$K40="AJ № 2L",$K40="AJ № 2R",$K40="U",$K40="V"),$L40*$E40*Прайс!$J$45,IF(OR($K40="AJ № 3R",$K40="AJ № 4R",$K40="AJ № 5R",$K40="AJ № 3L",$K40="AJ № 4L",$K40="AJ № 5L",$K40="AJ № 3",$K40="AJ № 4",$K40="AJ № 5",$K40="J № 3",$K40="J № 4",$K40="J № 5",$K40="J № 6",$K40="J № 7",$K40="L",$K40="AL"),Прайс!$J$45*$E40,IF(OR($K40="J № 3L",$K40="J № 3R",$K40="J № 4L",$K40="J № 4R",$K40="J № 5L",$K40="J № 5R"),$L40/2*Прайс!$J$45*$E40,IF($K40="45 град.",$L40*Прайс!$J$50*$E40,0)))))</f>
        <v/>
      </c>
      <c r="O40" s="210" t="str">
        <f>IF(Бланк!$L40="","",Бланк!$L40)</f>
        <v/>
      </c>
      <c r="P40" s="210" t="str">
        <f>IF(Бланк!$M40="","",Бланк!$M40)</f>
        <v/>
      </c>
      <c r="Q40" s="214"/>
      <c r="R40" s="215"/>
      <c r="S40" s="210" t="str">
        <f>IF(Бланк!$P40="","",Бланк!$P40)</f>
        <v/>
      </c>
      <c r="T40" s="209" t="str">
        <f>IF($S40="","",VLOOKUP($S40,Лист1!$S$5:$T$32,2,FALSE))</f>
        <v/>
      </c>
      <c r="U40" s="215"/>
      <c r="V40" s="212"/>
      <c r="W40" s="212"/>
      <c r="X40" s="212"/>
      <c r="Y40" s="212"/>
      <c r="Z40" s="209"/>
      <c r="AA40" s="209" t="e">
        <f>VLOOKUP($S40,Прайс!$C$62:$E$90,3,FALSE)</f>
        <v>#N/A</v>
      </c>
      <c r="AB40" s="210" t="str">
        <f>IF(Бланк!$X40="","",Бланк!$X40)</f>
        <v/>
      </c>
      <c r="AC40" s="210" t="str">
        <f>IF(Бланк!$Y40="","",Бланк!$Y40)</f>
        <v/>
      </c>
      <c r="AD40" s="210" t="str">
        <f>IF(Бланк!$Z40="","",Бланк!$Z40)</f>
        <v/>
      </c>
      <c r="AE40" s="210" t="str">
        <f>IF(Бланк!$AA40="","",Бланк!$AA40)</f>
        <v/>
      </c>
      <c r="AF40" s="212"/>
      <c r="AG40" s="216"/>
      <c r="AH40" s="211">
        <f>IF(OR($C40=0,$C40=""),0,IF(AND($AB40="Матове",$AC40="Відкрита пора",$AA40=1,$AD40="Ламінат",OR($F40=4,$F40=6,$F40=8,$F40=10,$F40=16)),$AP40*Прайс!$G$17,IF(AND($AB40="Матове",$AC40="Відкрита пора",$AA40=2,$AD40="Ламінат",OR($F40=4,$F40=6,$F40=8,$F40=10,$F40=16)),$AP40*Прайс!$G$18,IF(AND($AB40="Матове",$AC40="Закрита пора",$AA40=1,$AD40="Ламінат",OR($F40=4,$F40=6,$F40=8,$F40=10,$F40=16)),$AP40*Прайс!$G$19,IF(AND($AB40="Матове",$AC40="Закрита пора",$AA40=2,$AD40="Ламінат",OR($F40=4,$F40=6,$F40=8,$F40=10,$F40=16)),$AP40*Прайс!$G$20,IF(AND($AB40="Глянець",$AC40="Закрита пора",$AA40=1,$AD40="Ламінат",OR($F40=4,$F40=6,$F40=8,$F40=10,$F40=16)),$AP40*Прайс!$G$21,IF(AND($AB40="Глянець",$AC40="Закрита пора",$AA40=2,$AD40="Ламінат",OR($F40=4,$F40=6,$F40=8,$F40=10,$F40=16)),$AP40*Прайс!$G$22,IF(AND($AB40="Матове",$AC40="Відкрита пора",$AA40=1,$AD40="Матове",$AE40="Відкрита пора",OR($F40=4,$F40=6,$F40=8,$F40=10,$F40=16)),$AP40*Прайс!$G$23,IF(AND($AB40="Матове",$AC40="Відкрита пора",$AA40=2,$AD40="Матове",$AE40="Відкрита пора",OR($F40=4,$F40=6,$F40=8,$F40=10,$F40=16)),$AP40*Прайс!$G$24,IF(AND($AB40="Матове",$AC40="Закрита пора",$AA40=1,$AD40="Матове",$AE40="Відкрита пора",OR($F40=4,$F40=6,$F40=8,$F40=10,$F40=16)),$AP40*Прайс!$G$25,IF(AND($AB40="Матове",$AC40="Закрита пора",$AA40=2,$AD40="Матове",$AE40="Відкрита пора",OR($F40=4,$F40=6,$F40=8,$F40=10,$F40=16)),$AP40*Прайс!$G$26,IF(AND($AB40="Глянець",$AC40="Закрита пора",$AA40=1,$AD40="Матове",$AE40="Відкрита пора",OR($F40=4,$F40=6,$F40=8,$F40=10,$F40=16)),$AP40*Прайс!$G$27,IF(AND($AB40="Глянець",$AC40="Закрита пора",$AA40=2,$AD40="Матове",$AE40="Відкрита пора",OR($F40=4,$F40=6,$F40=8,$F40=10,$F40=16)),$AP40*Прайс!$G$28,0)))))))))))))</f>
        <v>0</v>
      </c>
      <c r="AI40" s="211">
        <f>IF(OR($C40=0,$C40=""),0,IF(AND($AB40="Матове",$AC40="Відкрита пора",$AA40=1,$AD40="Ламінат",$F40=19),$AP40*Прайс!$I$17,IF(AND($AB40="Матове",$AC40="Відкрита пора",$AA40=2,$AD40="Ламінат",$F40=19),$AP40*Прайс!$I$18,IF(AND($AB40="Матове",$AC40="Закрита пора",$AA40=1,$AD40="Ламінат",$F40=19),$AP40*Прайс!$I$19,IF(AND($AB40="Матове",$AC40="Закрита пора",$AA40=2,$AD40="Ламінат",$F40=19),$AP40*Прайс!$I$20,IF(AND($AB40="Глянець",$AC40="Закрита пора",$AA40=1,$AD40="Ламінат",$F40=19),$AP40*Прайс!$I$21,IF(AND($AB40="Глянець",$AC40="Закрита пора",$AA40=2,$AD40="Ламінат",$F40=19),$AP40*Прайс!$I$22,IF(AND($AB40="Матове",$AC40="Відкрита пора",$AA40=1,$AD40="Матове",$AE40="Відкрита пора",$F40=19),$AP40*Прайс!$I$23,IF(AND($AB40="Матове",$AC40="Відкрита пора",$AA40=2,$AD40="Матове",$AE40="Відкрита пора",$F40=19),$AP40*Прайс!$I$24,IF(AND($AB40="Матове",$AC40="Закрита пора",$AA40=1,$AD40="Матове",$AE40="Відкрита пора",$F40=19),$AP40*Прайс!$I$25,IF(AND($AB40="Матове",$AC40="Закрита пора",$AA40=2,$AD40="Матове",$AE40="Відкрита пора",$F40=19),$AP40*Прайс!$I$26,IF(AND($AB40="Глянець",$AC40="Закрита пора",$AA40=1,$AD40="Матове",$AE40="Відкрита пора",$F40=19),$AP40*Прайс!$I$27,IF(AND($AB40="Глянець",$AC40="Закрита пора",$AA40=2,$AD40="Матове",$AE40="Відкрита пора",$F40=19),$AP40*Прайс!$I$28,0)))))))))))))</f>
        <v>0</v>
      </c>
      <c r="AJ40" s="210" t="str">
        <f>IF(Бланк!$AD40="","",Бланк!$AD40*E40)</f>
        <v/>
      </c>
      <c r="AK40" s="213" t="str">
        <f>IF(OR($AJ40=0,$AJ40=""),"",$AJ40*Прайс!$J$47)</f>
        <v/>
      </c>
      <c r="AL40" s="217"/>
      <c r="AM40" s="222"/>
      <c r="AN40" s="222"/>
      <c r="AO40" s="218"/>
      <c r="AP40" s="107">
        <f t="shared" si="1"/>
        <v>0</v>
      </c>
      <c r="AQ40" s="207"/>
    </row>
    <row r="41" spans="2:43" s="221" customFormat="1" ht="20.25" x14ac:dyDescent="0.3">
      <c r="B41" s="219">
        <v>21</v>
      </c>
      <c r="C41" s="209">
        <f>Бланк!C41</f>
        <v>0</v>
      </c>
      <c r="D41" s="209">
        <f>Бланк!D41</f>
        <v>0</v>
      </c>
      <c r="E41" s="209">
        <f>Бланк!E41</f>
        <v>0</v>
      </c>
      <c r="F41" s="209">
        <f>Бланк!F41</f>
        <v>0</v>
      </c>
      <c r="G41" s="209"/>
      <c r="H41" s="212"/>
      <c r="I41" s="210" t="str">
        <f>IF(Бланк!$I41="","",Бланк!$I41)</f>
        <v/>
      </c>
      <c r="J41" s="211" t="str">
        <f>IF(OR($C41="",$C41=0),"",IF($I41="Пряма з чвертю",(Прайс!$J$42+Прайс!$J$44)*Просчёт!$E41,IF($I41="Пряма без чверті",Просчёт!$E41*Прайс!$J$42,"")))</f>
        <v/>
      </c>
      <c r="K41" s="210" t="str">
        <f>IF(Бланк!$K41="","",Бланк!$K41)</f>
        <v/>
      </c>
      <c r="L41" s="212" t="str">
        <f>IF(Бланк!$J41="","",Бланк!$J41/1000)</f>
        <v/>
      </c>
      <c r="M41" s="213" t="str">
        <f t="shared" si="0"/>
        <v/>
      </c>
      <c r="N41" s="213" t="str">
        <f>IF($K41="","",IF(OR($K41="J № 1",$K41="J № 2",$K41="J № 2L",$K41="J № 2R",$K41="AJ № 2",$K41="AJ № 2L",$K41="AJ № 2R",$K41="U",$K41="V"),$L41*$E41*Прайс!$J$45,IF(OR($K41="AJ № 3R",$K41="AJ № 4R",$K41="AJ № 5R",$K41="AJ № 3L",$K41="AJ № 4L",$K41="AJ № 5L",$K41="AJ № 3",$K41="AJ № 4",$K41="AJ № 5",$K41="J № 3",$K41="J № 4",$K41="J № 5",$K41="J № 6",$K41="J № 7",$K41="L",$K41="AL"),Прайс!$J$45*$E41,IF(OR($K41="J № 3L",$K41="J № 3R",$K41="J № 4L",$K41="J № 4R",$K41="J № 5L",$K41="J № 5R"),$L41/2*Прайс!$J$45*$E41,IF($K41="45 град.",$L41*Прайс!$J$50*$E41,0)))))</f>
        <v/>
      </c>
      <c r="O41" s="210" t="str">
        <f>IF(Бланк!$L41="","",Бланк!$L41)</f>
        <v/>
      </c>
      <c r="P41" s="210" t="str">
        <f>IF(Бланк!$M41="","",Бланк!$M41)</f>
        <v/>
      </c>
      <c r="Q41" s="214"/>
      <c r="R41" s="215"/>
      <c r="S41" s="210" t="str">
        <f>IF(Бланк!$P41="","",Бланк!$P41)</f>
        <v/>
      </c>
      <c r="T41" s="209" t="str">
        <f>IF($S41="","",VLOOKUP($S41,Лист1!$S$5:$T$32,2,FALSE))</f>
        <v/>
      </c>
      <c r="U41" s="215"/>
      <c r="V41" s="212"/>
      <c r="W41" s="212"/>
      <c r="X41" s="212"/>
      <c r="Y41" s="212"/>
      <c r="Z41" s="209"/>
      <c r="AA41" s="209" t="e">
        <f>VLOOKUP($S41,Прайс!$C$62:$E$90,3,FALSE)</f>
        <v>#N/A</v>
      </c>
      <c r="AB41" s="210" t="str">
        <f>IF(Бланк!$X41="","",Бланк!$X41)</f>
        <v/>
      </c>
      <c r="AC41" s="210" t="str">
        <f>IF(Бланк!$Y41="","",Бланк!$Y41)</f>
        <v/>
      </c>
      <c r="AD41" s="210" t="str">
        <f>IF(Бланк!$Z41="","",Бланк!$Z41)</f>
        <v/>
      </c>
      <c r="AE41" s="210" t="str">
        <f>IF(Бланк!$AA41="","",Бланк!$AA41)</f>
        <v/>
      </c>
      <c r="AF41" s="212"/>
      <c r="AG41" s="216"/>
      <c r="AH41" s="211">
        <f>IF(OR($C41=0,$C41=""),0,IF(AND($AB41="Матове",$AC41="Відкрита пора",$AA41=1,$AD41="Ламінат",OR($F41=4,$F41=6,$F41=8,$F41=10,$F41=16)),$AP41*Прайс!$G$17,IF(AND($AB41="Матове",$AC41="Відкрита пора",$AA41=2,$AD41="Ламінат",OR($F41=4,$F41=6,$F41=8,$F41=10,$F41=16)),$AP41*Прайс!$G$18,IF(AND($AB41="Матове",$AC41="Закрита пора",$AA41=1,$AD41="Ламінат",OR($F41=4,$F41=6,$F41=8,$F41=10,$F41=16)),$AP41*Прайс!$G$19,IF(AND($AB41="Матове",$AC41="Закрита пора",$AA41=2,$AD41="Ламінат",OR($F41=4,$F41=6,$F41=8,$F41=10,$F41=16)),$AP41*Прайс!$G$20,IF(AND($AB41="Глянець",$AC41="Закрита пора",$AA41=1,$AD41="Ламінат",OR($F41=4,$F41=6,$F41=8,$F41=10,$F41=16)),$AP41*Прайс!$G$21,IF(AND($AB41="Глянець",$AC41="Закрита пора",$AA41=2,$AD41="Ламінат",OR($F41=4,$F41=6,$F41=8,$F41=10,$F41=16)),$AP41*Прайс!$G$22,IF(AND($AB41="Матове",$AC41="Відкрита пора",$AA41=1,$AD41="Матове",$AE41="Відкрита пора",OR($F41=4,$F41=6,$F41=8,$F41=10,$F41=16)),$AP41*Прайс!$G$23,IF(AND($AB41="Матове",$AC41="Відкрита пора",$AA41=2,$AD41="Матове",$AE41="Відкрита пора",OR($F41=4,$F41=6,$F41=8,$F41=10,$F41=16)),$AP41*Прайс!$G$24,IF(AND($AB41="Матове",$AC41="Закрита пора",$AA41=1,$AD41="Матове",$AE41="Відкрита пора",OR($F41=4,$F41=6,$F41=8,$F41=10,$F41=16)),$AP41*Прайс!$G$25,IF(AND($AB41="Матове",$AC41="Закрита пора",$AA41=2,$AD41="Матове",$AE41="Відкрита пора",OR($F41=4,$F41=6,$F41=8,$F41=10,$F41=16)),$AP41*Прайс!$G$26,IF(AND($AB41="Глянець",$AC41="Закрита пора",$AA41=1,$AD41="Матове",$AE41="Відкрита пора",OR($F41=4,$F41=6,$F41=8,$F41=10,$F41=16)),$AP41*Прайс!$G$27,IF(AND($AB41="Глянець",$AC41="Закрита пора",$AA41=2,$AD41="Матове",$AE41="Відкрита пора",OR($F41=4,$F41=6,$F41=8,$F41=10,$F41=16)),$AP41*Прайс!$G$28,0)))))))))))))</f>
        <v>0</v>
      </c>
      <c r="AI41" s="211">
        <f>IF(OR($C41=0,$C41=""),0,IF(AND($AB41="Матове",$AC41="Відкрита пора",$AA41=1,$AD41="Ламінат",$F41=19),$AP41*Прайс!$I$17,IF(AND($AB41="Матове",$AC41="Відкрита пора",$AA41=2,$AD41="Ламінат",$F41=19),$AP41*Прайс!$I$18,IF(AND($AB41="Матове",$AC41="Закрита пора",$AA41=1,$AD41="Ламінат",$F41=19),$AP41*Прайс!$I$19,IF(AND($AB41="Матове",$AC41="Закрита пора",$AA41=2,$AD41="Ламінат",$F41=19),$AP41*Прайс!$I$20,IF(AND($AB41="Глянець",$AC41="Закрита пора",$AA41=1,$AD41="Ламінат",$F41=19),$AP41*Прайс!$I$21,IF(AND($AB41="Глянець",$AC41="Закрита пора",$AA41=2,$AD41="Ламінат",$F41=19),$AP41*Прайс!$I$22,IF(AND($AB41="Матове",$AC41="Відкрита пора",$AA41=1,$AD41="Матове",$AE41="Відкрита пора",$F41=19),$AP41*Прайс!$I$23,IF(AND($AB41="Матове",$AC41="Відкрита пора",$AA41=2,$AD41="Матове",$AE41="Відкрита пора",$F41=19),$AP41*Прайс!$I$24,IF(AND($AB41="Матове",$AC41="Закрита пора",$AA41=1,$AD41="Матове",$AE41="Відкрита пора",$F41=19),$AP41*Прайс!$I$25,IF(AND($AB41="Матове",$AC41="Закрита пора",$AA41=2,$AD41="Матове",$AE41="Відкрита пора",$F41=19),$AP41*Прайс!$I$26,IF(AND($AB41="Глянець",$AC41="Закрита пора",$AA41=1,$AD41="Матове",$AE41="Відкрита пора",$F41=19),$AP41*Прайс!$I$27,IF(AND($AB41="Глянець",$AC41="Закрита пора",$AA41=2,$AD41="Матове",$AE41="Відкрита пора",$F41=19),$AP41*Прайс!$I$28,0)))))))))))))</f>
        <v>0</v>
      </c>
      <c r="AJ41" s="210" t="str">
        <f>IF(Бланк!$AD41="","",Бланк!$AD41*E41)</f>
        <v/>
      </c>
      <c r="AK41" s="213" t="str">
        <f>IF(OR($AJ41=0,$AJ41=""),"",$AJ41*Прайс!$J$47)</f>
        <v/>
      </c>
      <c r="AL41" s="217"/>
      <c r="AM41" s="222"/>
      <c r="AN41" s="222"/>
      <c r="AO41" s="218"/>
      <c r="AP41" s="107">
        <f t="shared" si="1"/>
        <v>0</v>
      </c>
      <c r="AQ41" s="207"/>
    </row>
    <row r="42" spans="2:43" s="221" customFormat="1" ht="20.25" x14ac:dyDescent="0.3">
      <c r="B42" s="219">
        <v>22</v>
      </c>
      <c r="C42" s="209">
        <f>Бланк!C42</f>
        <v>0</v>
      </c>
      <c r="D42" s="209">
        <f>Бланк!D42</f>
        <v>0</v>
      </c>
      <c r="E42" s="209">
        <f>Бланк!E42</f>
        <v>0</v>
      </c>
      <c r="F42" s="209">
        <f>Бланк!F42</f>
        <v>0</v>
      </c>
      <c r="G42" s="209"/>
      <c r="H42" s="212"/>
      <c r="I42" s="210" t="str">
        <f>IF(Бланк!$I42="","",Бланк!$I42)</f>
        <v/>
      </c>
      <c r="J42" s="211" t="str">
        <f>IF(OR($C42="",$C42=0),"",IF($I42="Пряма з чвертю",(Прайс!$J$42+Прайс!$J$44)*Просчёт!$E42,IF($I42="Пряма без чверті",Просчёт!$E42*Прайс!$J$42,"")))</f>
        <v/>
      </c>
      <c r="K42" s="210" t="str">
        <f>IF(Бланк!$K42="","",Бланк!$K42)</f>
        <v/>
      </c>
      <c r="L42" s="212" t="str">
        <f>IF(Бланк!$J42="","",Бланк!$J42/1000)</f>
        <v/>
      </c>
      <c r="M42" s="213" t="str">
        <f t="shared" si="0"/>
        <v/>
      </c>
      <c r="N42" s="213" t="str">
        <f>IF($K42="","",IF(OR($K42="J № 1",$K42="J № 2",$K42="J № 2L",$K42="J № 2R",$K42="AJ № 2",$K42="AJ № 2L",$K42="AJ № 2R",$K42="U",$K42="V"),$L42*$E42*Прайс!$J$45,IF(OR($K42="AJ № 3R",$K42="AJ № 4R",$K42="AJ № 5R",$K42="AJ № 3L",$K42="AJ № 4L",$K42="AJ № 5L",$K42="AJ № 3",$K42="AJ № 4",$K42="AJ № 5",$K42="J № 3",$K42="J № 4",$K42="J № 5",$K42="J № 6",$K42="J № 7",$K42="L",$K42="AL"),Прайс!$J$45*$E42,IF(OR($K42="J № 3L",$K42="J № 3R",$K42="J № 4L",$K42="J № 4R",$K42="J № 5L",$K42="J № 5R"),$L42/2*Прайс!$J$45*$E42,IF($K42="45 град.",$L42*Прайс!$J$50*$E42,0)))))</f>
        <v/>
      </c>
      <c r="O42" s="210" t="str">
        <f>IF(Бланк!$L42="","",Бланк!$L42)</f>
        <v/>
      </c>
      <c r="P42" s="210" t="str">
        <f>IF(Бланк!$M42="","",Бланк!$M42)</f>
        <v/>
      </c>
      <c r="Q42" s="214"/>
      <c r="R42" s="215"/>
      <c r="S42" s="210" t="str">
        <f>IF(Бланк!$P42="","",Бланк!$P42)</f>
        <v/>
      </c>
      <c r="T42" s="209" t="str">
        <f>IF($S42="","",VLOOKUP($S42,Лист1!$S$5:$T$32,2,FALSE))</f>
        <v/>
      </c>
      <c r="U42" s="215"/>
      <c r="V42" s="212"/>
      <c r="W42" s="212"/>
      <c r="X42" s="212"/>
      <c r="Y42" s="212"/>
      <c r="Z42" s="209"/>
      <c r="AA42" s="209" t="e">
        <f>VLOOKUP($S42,Прайс!$C$62:$E$90,3,FALSE)</f>
        <v>#N/A</v>
      </c>
      <c r="AB42" s="210" t="str">
        <f>IF(Бланк!$X42="","",Бланк!$X42)</f>
        <v/>
      </c>
      <c r="AC42" s="210" t="str">
        <f>IF(Бланк!$Y42="","",Бланк!$Y42)</f>
        <v/>
      </c>
      <c r="AD42" s="210" t="str">
        <f>IF(Бланк!$Z42="","",Бланк!$Z42)</f>
        <v/>
      </c>
      <c r="AE42" s="210" t="str">
        <f>IF(Бланк!$AA42="","",Бланк!$AA42)</f>
        <v/>
      </c>
      <c r="AF42" s="212"/>
      <c r="AG42" s="216"/>
      <c r="AH42" s="211">
        <f>IF(OR($C42=0,$C42=""),0,IF(AND($AB42="Матове",$AC42="Відкрита пора",$AA42=1,$AD42="Ламінат",OR($F42=4,$F42=6,$F42=8,$F42=10,$F42=16)),$AP42*Прайс!$G$17,IF(AND($AB42="Матове",$AC42="Відкрита пора",$AA42=2,$AD42="Ламінат",OR($F42=4,$F42=6,$F42=8,$F42=10,$F42=16)),$AP42*Прайс!$G$18,IF(AND($AB42="Матове",$AC42="Закрита пора",$AA42=1,$AD42="Ламінат",OR($F42=4,$F42=6,$F42=8,$F42=10,$F42=16)),$AP42*Прайс!$G$19,IF(AND($AB42="Матове",$AC42="Закрита пора",$AA42=2,$AD42="Ламінат",OR($F42=4,$F42=6,$F42=8,$F42=10,$F42=16)),$AP42*Прайс!$G$20,IF(AND($AB42="Глянець",$AC42="Закрита пора",$AA42=1,$AD42="Ламінат",OR($F42=4,$F42=6,$F42=8,$F42=10,$F42=16)),$AP42*Прайс!$G$21,IF(AND($AB42="Глянець",$AC42="Закрита пора",$AA42=2,$AD42="Ламінат",OR($F42=4,$F42=6,$F42=8,$F42=10,$F42=16)),$AP42*Прайс!$G$22,IF(AND($AB42="Матове",$AC42="Відкрита пора",$AA42=1,$AD42="Матове",$AE42="Відкрита пора",OR($F42=4,$F42=6,$F42=8,$F42=10,$F42=16)),$AP42*Прайс!$G$23,IF(AND($AB42="Матове",$AC42="Відкрита пора",$AA42=2,$AD42="Матове",$AE42="Відкрита пора",OR($F42=4,$F42=6,$F42=8,$F42=10,$F42=16)),$AP42*Прайс!$G$24,IF(AND($AB42="Матове",$AC42="Закрита пора",$AA42=1,$AD42="Матове",$AE42="Відкрита пора",OR($F42=4,$F42=6,$F42=8,$F42=10,$F42=16)),$AP42*Прайс!$G$25,IF(AND($AB42="Матове",$AC42="Закрита пора",$AA42=2,$AD42="Матове",$AE42="Відкрита пора",OR($F42=4,$F42=6,$F42=8,$F42=10,$F42=16)),$AP42*Прайс!$G$26,IF(AND($AB42="Глянець",$AC42="Закрита пора",$AA42=1,$AD42="Матове",$AE42="Відкрита пора",OR($F42=4,$F42=6,$F42=8,$F42=10,$F42=16)),$AP42*Прайс!$G$27,IF(AND($AB42="Глянець",$AC42="Закрита пора",$AA42=2,$AD42="Матове",$AE42="Відкрита пора",OR($F42=4,$F42=6,$F42=8,$F42=10,$F42=16)),$AP42*Прайс!$G$28,0)))))))))))))</f>
        <v>0</v>
      </c>
      <c r="AI42" s="211">
        <f>IF(OR($C42=0,$C42=""),0,IF(AND($AB42="Матове",$AC42="Відкрита пора",$AA42=1,$AD42="Ламінат",$F42=19),$AP42*Прайс!$I$17,IF(AND($AB42="Матове",$AC42="Відкрита пора",$AA42=2,$AD42="Ламінат",$F42=19),$AP42*Прайс!$I$18,IF(AND($AB42="Матове",$AC42="Закрита пора",$AA42=1,$AD42="Ламінат",$F42=19),$AP42*Прайс!$I$19,IF(AND($AB42="Матове",$AC42="Закрита пора",$AA42=2,$AD42="Ламінат",$F42=19),$AP42*Прайс!$I$20,IF(AND($AB42="Глянець",$AC42="Закрита пора",$AA42=1,$AD42="Ламінат",$F42=19),$AP42*Прайс!$I$21,IF(AND($AB42="Глянець",$AC42="Закрита пора",$AA42=2,$AD42="Ламінат",$F42=19),$AP42*Прайс!$I$22,IF(AND($AB42="Матове",$AC42="Відкрита пора",$AA42=1,$AD42="Матове",$AE42="Відкрита пора",$F42=19),$AP42*Прайс!$I$23,IF(AND($AB42="Матове",$AC42="Відкрита пора",$AA42=2,$AD42="Матове",$AE42="Відкрита пора",$F42=19),$AP42*Прайс!$I$24,IF(AND($AB42="Матове",$AC42="Закрита пора",$AA42=1,$AD42="Матове",$AE42="Відкрита пора",$F42=19),$AP42*Прайс!$I$25,IF(AND($AB42="Матове",$AC42="Закрита пора",$AA42=2,$AD42="Матове",$AE42="Відкрита пора",$F42=19),$AP42*Прайс!$I$26,IF(AND($AB42="Глянець",$AC42="Закрита пора",$AA42=1,$AD42="Матове",$AE42="Відкрита пора",$F42=19),$AP42*Прайс!$I$27,IF(AND($AB42="Глянець",$AC42="Закрита пора",$AA42=2,$AD42="Матове",$AE42="Відкрита пора",$F42=19),$AP42*Прайс!$I$28,0)))))))))))))</f>
        <v>0</v>
      </c>
      <c r="AJ42" s="210" t="str">
        <f>IF(Бланк!$AD42="","",Бланк!$AD42*E42)</f>
        <v/>
      </c>
      <c r="AK42" s="213" t="str">
        <f>IF(OR($AJ42=0,$AJ42=""),"",$AJ42*Прайс!$J$47)</f>
        <v/>
      </c>
      <c r="AL42" s="217"/>
      <c r="AM42" s="222"/>
      <c r="AN42" s="222"/>
      <c r="AO42" s="218"/>
      <c r="AP42" s="107">
        <f t="shared" si="1"/>
        <v>0</v>
      </c>
      <c r="AQ42" s="207"/>
    </row>
    <row r="43" spans="2:43" s="221" customFormat="1" ht="20.25" x14ac:dyDescent="0.3">
      <c r="B43" s="219">
        <v>23</v>
      </c>
      <c r="C43" s="209">
        <f>Бланк!C43</f>
        <v>0</v>
      </c>
      <c r="D43" s="209">
        <f>Бланк!D43</f>
        <v>0</v>
      </c>
      <c r="E43" s="209">
        <f>Бланк!E43</f>
        <v>0</v>
      </c>
      <c r="F43" s="209">
        <f>Бланк!F43</f>
        <v>0</v>
      </c>
      <c r="G43" s="209"/>
      <c r="H43" s="212"/>
      <c r="I43" s="210" t="str">
        <f>IF(Бланк!$I43="","",Бланк!$I43)</f>
        <v/>
      </c>
      <c r="J43" s="211" t="str">
        <f>IF(OR($C43="",$C43=0),"",IF($I43="Пряма з чвертю",(Прайс!$J$42+Прайс!$J$44)*Просчёт!$E43,IF($I43="Пряма без чверті",Просчёт!$E43*Прайс!$J$42,"")))</f>
        <v/>
      </c>
      <c r="K43" s="210" t="str">
        <f>IF(Бланк!$K43="","",Бланк!$K43)</f>
        <v/>
      </c>
      <c r="L43" s="212" t="str">
        <f>IF(Бланк!$J43="","",Бланк!$J43/1000)</f>
        <v/>
      </c>
      <c r="M43" s="213" t="str">
        <f t="shared" si="0"/>
        <v/>
      </c>
      <c r="N43" s="213" t="str">
        <f>IF($K43="","",IF(OR($K43="J № 1",$K43="J № 2",$K43="J № 2L",$K43="J № 2R",$K43="AJ № 2",$K43="AJ № 2L",$K43="AJ № 2R",$K43="U",$K43="V"),$L43*$E43*Прайс!$J$45,IF(OR($K43="AJ № 3R",$K43="AJ № 4R",$K43="AJ № 5R",$K43="AJ № 3L",$K43="AJ № 4L",$K43="AJ № 5L",$K43="AJ № 3",$K43="AJ № 4",$K43="AJ № 5",$K43="J № 3",$K43="J № 4",$K43="J № 5",$K43="J № 6",$K43="J № 7",$K43="L",$K43="AL"),Прайс!$J$45*$E43,IF(OR($K43="J № 3L",$K43="J № 3R",$K43="J № 4L",$K43="J № 4R",$K43="J № 5L",$K43="J № 5R"),$L43/2*Прайс!$J$45*$E43,IF($K43="45 град.",$L43*Прайс!$J$50*$E43,0)))))</f>
        <v/>
      </c>
      <c r="O43" s="210" t="str">
        <f>IF(Бланк!$L43="","",Бланк!$L43)</f>
        <v/>
      </c>
      <c r="P43" s="210" t="str">
        <f>IF(Бланк!$M43="","",Бланк!$M43)</f>
        <v/>
      </c>
      <c r="Q43" s="214"/>
      <c r="R43" s="215"/>
      <c r="S43" s="210" t="str">
        <f>IF(Бланк!$P43="","",Бланк!$P43)</f>
        <v/>
      </c>
      <c r="T43" s="209" t="str">
        <f>IF($S43="","",VLOOKUP($S43,Лист1!$S$5:$T$32,2,FALSE))</f>
        <v/>
      </c>
      <c r="U43" s="215"/>
      <c r="V43" s="212"/>
      <c r="W43" s="212"/>
      <c r="X43" s="212"/>
      <c r="Y43" s="212"/>
      <c r="Z43" s="209"/>
      <c r="AA43" s="209" t="e">
        <f>VLOOKUP($S43,Прайс!$C$62:$E$90,3,FALSE)</f>
        <v>#N/A</v>
      </c>
      <c r="AB43" s="210" t="str">
        <f>IF(Бланк!$X43="","",Бланк!$X43)</f>
        <v/>
      </c>
      <c r="AC43" s="210" t="str">
        <f>IF(Бланк!$Y43="","",Бланк!$Y43)</f>
        <v/>
      </c>
      <c r="AD43" s="210" t="str">
        <f>IF(Бланк!$Z43="","",Бланк!$Z43)</f>
        <v/>
      </c>
      <c r="AE43" s="210" t="str">
        <f>IF(Бланк!$AA43="","",Бланк!$AA43)</f>
        <v/>
      </c>
      <c r="AF43" s="212"/>
      <c r="AG43" s="216"/>
      <c r="AH43" s="211">
        <f>IF(OR($C43=0,$C43=""),0,IF(AND($AB43="Матове",$AC43="Відкрита пора",$AA43=1,$AD43="Ламінат",OR($F43=4,$F43=6,$F43=8,$F43=10,$F43=16)),$AP43*Прайс!$G$17,IF(AND($AB43="Матове",$AC43="Відкрита пора",$AA43=2,$AD43="Ламінат",OR($F43=4,$F43=6,$F43=8,$F43=10,$F43=16)),$AP43*Прайс!$G$18,IF(AND($AB43="Матове",$AC43="Закрита пора",$AA43=1,$AD43="Ламінат",OR($F43=4,$F43=6,$F43=8,$F43=10,$F43=16)),$AP43*Прайс!$G$19,IF(AND($AB43="Матове",$AC43="Закрита пора",$AA43=2,$AD43="Ламінат",OR($F43=4,$F43=6,$F43=8,$F43=10,$F43=16)),$AP43*Прайс!$G$20,IF(AND($AB43="Глянець",$AC43="Закрита пора",$AA43=1,$AD43="Ламінат",OR($F43=4,$F43=6,$F43=8,$F43=10,$F43=16)),$AP43*Прайс!$G$21,IF(AND($AB43="Глянець",$AC43="Закрита пора",$AA43=2,$AD43="Ламінат",OR($F43=4,$F43=6,$F43=8,$F43=10,$F43=16)),$AP43*Прайс!$G$22,IF(AND($AB43="Матове",$AC43="Відкрита пора",$AA43=1,$AD43="Матове",$AE43="Відкрита пора",OR($F43=4,$F43=6,$F43=8,$F43=10,$F43=16)),$AP43*Прайс!$G$23,IF(AND($AB43="Матове",$AC43="Відкрита пора",$AA43=2,$AD43="Матове",$AE43="Відкрита пора",OR($F43=4,$F43=6,$F43=8,$F43=10,$F43=16)),$AP43*Прайс!$G$24,IF(AND($AB43="Матове",$AC43="Закрита пора",$AA43=1,$AD43="Матове",$AE43="Відкрита пора",OR($F43=4,$F43=6,$F43=8,$F43=10,$F43=16)),$AP43*Прайс!$G$25,IF(AND($AB43="Матове",$AC43="Закрита пора",$AA43=2,$AD43="Матове",$AE43="Відкрита пора",OR($F43=4,$F43=6,$F43=8,$F43=10,$F43=16)),$AP43*Прайс!$G$26,IF(AND($AB43="Глянець",$AC43="Закрита пора",$AA43=1,$AD43="Матове",$AE43="Відкрита пора",OR($F43=4,$F43=6,$F43=8,$F43=10,$F43=16)),$AP43*Прайс!$G$27,IF(AND($AB43="Глянець",$AC43="Закрита пора",$AA43=2,$AD43="Матове",$AE43="Відкрита пора",OR($F43=4,$F43=6,$F43=8,$F43=10,$F43=16)),$AP43*Прайс!$G$28,0)))))))))))))</f>
        <v>0</v>
      </c>
      <c r="AI43" s="211">
        <f>IF(OR($C43=0,$C43=""),0,IF(AND($AB43="Матове",$AC43="Відкрита пора",$AA43=1,$AD43="Ламінат",$F43=19),$AP43*Прайс!$I$17,IF(AND($AB43="Матове",$AC43="Відкрита пора",$AA43=2,$AD43="Ламінат",$F43=19),$AP43*Прайс!$I$18,IF(AND($AB43="Матове",$AC43="Закрита пора",$AA43=1,$AD43="Ламінат",$F43=19),$AP43*Прайс!$I$19,IF(AND($AB43="Матове",$AC43="Закрита пора",$AA43=2,$AD43="Ламінат",$F43=19),$AP43*Прайс!$I$20,IF(AND($AB43="Глянець",$AC43="Закрита пора",$AA43=1,$AD43="Ламінат",$F43=19),$AP43*Прайс!$I$21,IF(AND($AB43="Глянець",$AC43="Закрита пора",$AA43=2,$AD43="Ламінат",$F43=19),$AP43*Прайс!$I$22,IF(AND($AB43="Матове",$AC43="Відкрита пора",$AA43=1,$AD43="Матове",$AE43="Відкрита пора",$F43=19),$AP43*Прайс!$I$23,IF(AND($AB43="Матове",$AC43="Відкрита пора",$AA43=2,$AD43="Матове",$AE43="Відкрита пора",$F43=19),$AP43*Прайс!$I$24,IF(AND($AB43="Матове",$AC43="Закрита пора",$AA43=1,$AD43="Матове",$AE43="Відкрита пора",$F43=19),$AP43*Прайс!$I$25,IF(AND($AB43="Матове",$AC43="Закрита пора",$AA43=2,$AD43="Матове",$AE43="Відкрита пора",$F43=19),$AP43*Прайс!$I$26,IF(AND($AB43="Глянець",$AC43="Закрита пора",$AA43=1,$AD43="Матове",$AE43="Відкрита пора",$F43=19),$AP43*Прайс!$I$27,IF(AND($AB43="Глянець",$AC43="Закрита пора",$AA43=2,$AD43="Матове",$AE43="Відкрита пора",$F43=19),$AP43*Прайс!$I$28,0)))))))))))))</f>
        <v>0</v>
      </c>
      <c r="AJ43" s="210" t="str">
        <f>IF(Бланк!$AD43="","",Бланк!$AD43*E43)</f>
        <v/>
      </c>
      <c r="AK43" s="213" t="str">
        <f>IF(OR($AJ43=0,$AJ43=""),"",$AJ43*Прайс!$J$47)</f>
        <v/>
      </c>
      <c r="AL43" s="217"/>
      <c r="AM43" s="222"/>
      <c r="AN43" s="222"/>
      <c r="AO43" s="218"/>
      <c r="AP43" s="107">
        <f t="shared" si="1"/>
        <v>0</v>
      </c>
      <c r="AQ43" s="207"/>
    </row>
    <row r="44" spans="2:43" s="221" customFormat="1" ht="20.25" x14ac:dyDescent="0.3">
      <c r="B44" s="219">
        <v>24</v>
      </c>
      <c r="C44" s="209">
        <f>Бланк!C44</f>
        <v>0</v>
      </c>
      <c r="D44" s="209">
        <f>Бланк!D44</f>
        <v>0</v>
      </c>
      <c r="E44" s="209">
        <f>Бланк!E44</f>
        <v>0</v>
      </c>
      <c r="F44" s="209">
        <f>Бланк!F44</f>
        <v>0</v>
      </c>
      <c r="G44" s="209"/>
      <c r="H44" s="212"/>
      <c r="I44" s="210" t="str">
        <f>IF(Бланк!$I44="","",Бланк!$I44)</f>
        <v/>
      </c>
      <c r="J44" s="211" t="str">
        <f>IF(OR($C44="",$C44=0),"",IF($I44="Пряма з чвертю",(Прайс!$J$42+Прайс!$J$44)*Просчёт!$E44,IF($I44="Пряма без чверті",Просчёт!$E44*Прайс!$J$42,"")))</f>
        <v/>
      </c>
      <c r="K44" s="210" t="str">
        <f>IF(Бланк!$K44="","",Бланк!$K44)</f>
        <v/>
      </c>
      <c r="L44" s="212" t="str">
        <f>IF(Бланк!$J44="","",Бланк!$J44/1000)</f>
        <v/>
      </c>
      <c r="M44" s="213" t="str">
        <f t="shared" si="0"/>
        <v/>
      </c>
      <c r="N44" s="213" t="str">
        <f>IF($K44="","",IF(OR($K44="J № 1",$K44="J № 2",$K44="J № 2L",$K44="J № 2R",$K44="AJ № 2",$K44="AJ № 2L",$K44="AJ № 2R",$K44="U",$K44="V"),$L44*$E44*Прайс!$J$45,IF(OR($K44="AJ № 3R",$K44="AJ № 4R",$K44="AJ № 5R",$K44="AJ № 3L",$K44="AJ № 4L",$K44="AJ № 5L",$K44="AJ № 3",$K44="AJ № 4",$K44="AJ № 5",$K44="J № 3",$K44="J № 4",$K44="J № 5",$K44="J № 6",$K44="J № 7",$K44="L",$K44="AL"),Прайс!$J$45*$E44,IF(OR($K44="J № 3L",$K44="J № 3R",$K44="J № 4L",$K44="J № 4R",$K44="J № 5L",$K44="J № 5R"),$L44/2*Прайс!$J$45*$E44,IF($K44="45 град.",$L44*Прайс!$J$50*$E44,0)))))</f>
        <v/>
      </c>
      <c r="O44" s="210" t="str">
        <f>IF(Бланк!$L44="","",Бланк!$L44)</f>
        <v/>
      </c>
      <c r="P44" s="210" t="str">
        <f>IF(Бланк!$M44="","",Бланк!$M44)</f>
        <v/>
      </c>
      <c r="Q44" s="214"/>
      <c r="R44" s="215"/>
      <c r="S44" s="210" t="str">
        <f>IF(Бланк!$P44="","",Бланк!$P44)</f>
        <v/>
      </c>
      <c r="T44" s="209" t="str">
        <f>IF($S44="","",VLOOKUP($S44,Лист1!$S$5:$T$32,2,FALSE))</f>
        <v/>
      </c>
      <c r="U44" s="215"/>
      <c r="V44" s="212"/>
      <c r="W44" s="212"/>
      <c r="X44" s="212"/>
      <c r="Y44" s="212"/>
      <c r="Z44" s="209"/>
      <c r="AA44" s="209" t="e">
        <f>VLOOKUP($S44,Прайс!$C$62:$E$90,3,FALSE)</f>
        <v>#N/A</v>
      </c>
      <c r="AB44" s="210" t="str">
        <f>IF(Бланк!$X44="","",Бланк!$X44)</f>
        <v/>
      </c>
      <c r="AC44" s="210" t="str">
        <f>IF(Бланк!$Y44="","",Бланк!$Y44)</f>
        <v/>
      </c>
      <c r="AD44" s="210" t="str">
        <f>IF(Бланк!$Z44="","",Бланк!$Z44)</f>
        <v/>
      </c>
      <c r="AE44" s="210" t="str">
        <f>IF(Бланк!$AA44="","",Бланк!$AA44)</f>
        <v/>
      </c>
      <c r="AF44" s="212"/>
      <c r="AG44" s="216"/>
      <c r="AH44" s="211">
        <f>IF(OR($C44=0,$C44=""),0,IF(AND($AB44="Матове",$AC44="Відкрита пора",$AA44=1,$AD44="Ламінат",OR($F44=4,$F44=6,$F44=8,$F44=10,$F44=16)),$AP44*Прайс!$G$17,IF(AND($AB44="Матове",$AC44="Відкрита пора",$AA44=2,$AD44="Ламінат",OR($F44=4,$F44=6,$F44=8,$F44=10,$F44=16)),$AP44*Прайс!$G$18,IF(AND($AB44="Матове",$AC44="Закрита пора",$AA44=1,$AD44="Ламінат",OR($F44=4,$F44=6,$F44=8,$F44=10,$F44=16)),$AP44*Прайс!$G$19,IF(AND($AB44="Матове",$AC44="Закрита пора",$AA44=2,$AD44="Ламінат",OR($F44=4,$F44=6,$F44=8,$F44=10,$F44=16)),$AP44*Прайс!$G$20,IF(AND($AB44="Глянець",$AC44="Закрита пора",$AA44=1,$AD44="Ламінат",OR($F44=4,$F44=6,$F44=8,$F44=10,$F44=16)),$AP44*Прайс!$G$21,IF(AND($AB44="Глянець",$AC44="Закрита пора",$AA44=2,$AD44="Ламінат",OR($F44=4,$F44=6,$F44=8,$F44=10,$F44=16)),$AP44*Прайс!$G$22,IF(AND($AB44="Матове",$AC44="Відкрита пора",$AA44=1,$AD44="Матове",$AE44="Відкрита пора",OR($F44=4,$F44=6,$F44=8,$F44=10,$F44=16)),$AP44*Прайс!$G$23,IF(AND($AB44="Матове",$AC44="Відкрита пора",$AA44=2,$AD44="Матове",$AE44="Відкрита пора",OR($F44=4,$F44=6,$F44=8,$F44=10,$F44=16)),$AP44*Прайс!$G$24,IF(AND($AB44="Матове",$AC44="Закрита пора",$AA44=1,$AD44="Матове",$AE44="Відкрита пора",OR($F44=4,$F44=6,$F44=8,$F44=10,$F44=16)),$AP44*Прайс!$G$25,IF(AND($AB44="Матове",$AC44="Закрита пора",$AA44=2,$AD44="Матове",$AE44="Відкрита пора",OR($F44=4,$F44=6,$F44=8,$F44=10,$F44=16)),$AP44*Прайс!$G$26,IF(AND($AB44="Глянець",$AC44="Закрита пора",$AA44=1,$AD44="Матове",$AE44="Відкрита пора",OR($F44=4,$F44=6,$F44=8,$F44=10,$F44=16)),$AP44*Прайс!$G$27,IF(AND($AB44="Глянець",$AC44="Закрита пора",$AA44=2,$AD44="Матове",$AE44="Відкрита пора",OR($F44=4,$F44=6,$F44=8,$F44=10,$F44=16)),$AP44*Прайс!$G$28,0)))))))))))))</f>
        <v>0</v>
      </c>
      <c r="AI44" s="211">
        <f>IF(OR($C44=0,$C44=""),0,IF(AND($AB44="Матове",$AC44="Відкрита пора",$AA44=1,$AD44="Ламінат",$F44=19),$AP44*Прайс!$I$17,IF(AND($AB44="Матове",$AC44="Відкрита пора",$AA44=2,$AD44="Ламінат",$F44=19),$AP44*Прайс!$I$18,IF(AND($AB44="Матове",$AC44="Закрита пора",$AA44=1,$AD44="Ламінат",$F44=19),$AP44*Прайс!$I$19,IF(AND($AB44="Матове",$AC44="Закрита пора",$AA44=2,$AD44="Ламінат",$F44=19),$AP44*Прайс!$I$20,IF(AND($AB44="Глянець",$AC44="Закрита пора",$AA44=1,$AD44="Ламінат",$F44=19),$AP44*Прайс!$I$21,IF(AND($AB44="Глянець",$AC44="Закрита пора",$AA44=2,$AD44="Ламінат",$F44=19),$AP44*Прайс!$I$22,IF(AND($AB44="Матове",$AC44="Відкрита пора",$AA44=1,$AD44="Матове",$AE44="Відкрита пора",$F44=19),$AP44*Прайс!$I$23,IF(AND($AB44="Матове",$AC44="Відкрита пора",$AA44=2,$AD44="Матове",$AE44="Відкрита пора",$F44=19),$AP44*Прайс!$I$24,IF(AND($AB44="Матове",$AC44="Закрита пора",$AA44=1,$AD44="Матове",$AE44="Відкрита пора",$F44=19),$AP44*Прайс!$I$25,IF(AND($AB44="Матове",$AC44="Закрита пора",$AA44=2,$AD44="Матове",$AE44="Відкрита пора",$F44=19),$AP44*Прайс!$I$26,IF(AND($AB44="Глянець",$AC44="Закрита пора",$AA44=1,$AD44="Матове",$AE44="Відкрита пора",$F44=19),$AP44*Прайс!$I$27,IF(AND($AB44="Глянець",$AC44="Закрита пора",$AA44=2,$AD44="Матове",$AE44="Відкрита пора",$F44=19),$AP44*Прайс!$I$28,0)))))))))))))</f>
        <v>0</v>
      </c>
      <c r="AJ44" s="210" t="str">
        <f>IF(Бланк!$AD44="","",Бланк!$AD44*E44)</f>
        <v/>
      </c>
      <c r="AK44" s="213" t="str">
        <f>IF(OR($AJ44=0,$AJ44=""),"",$AJ44*Прайс!$J$47)</f>
        <v/>
      </c>
      <c r="AL44" s="217"/>
      <c r="AM44" s="222"/>
      <c r="AN44" s="222"/>
      <c r="AO44" s="218"/>
      <c r="AP44" s="107">
        <f t="shared" si="1"/>
        <v>0</v>
      </c>
      <c r="AQ44" s="207"/>
    </row>
    <row r="45" spans="2:43" s="221" customFormat="1" ht="20.25" x14ac:dyDescent="0.3">
      <c r="B45" s="219">
        <v>25</v>
      </c>
      <c r="C45" s="209">
        <f>Бланк!C45</f>
        <v>0</v>
      </c>
      <c r="D45" s="209">
        <f>Бланк!D45</f>
        <v>0</v>
      </c>
      <c r="E45" s="209">
        <f>Бланк!E45</f>
        <v>0</v>
      </c>
      <c r="F45" s="209">
        <f>Бланк!F45</f>
        <v>0</v>
      </c>
      <c r="G45" s="209"/>
      <c r="H45" s="212"/>
      <c r="I45" s="210" t="str">
        <f>IF(Бланк!$I45="","",Бланк!$I45)</f>
        <v/>
      </c>
      <c r="J45" s="211" t="str">
        <f>IF(OR($C45="",$C45=0),"",IF($I45="Пряма з чвертю",(Прайс!$J$42+Прайс!$J$44)*Просчёт!$E45,IF($I45="Пряма без чверті",Просчёт!$E45*Прайс!$J$42,"")))</f>
        <v/>
      </c>
      <c r="K45" s="210" t="str">
        <f>IF(Бланк!$K45="","",Бланк!$K45)</f>
        <v/>
      </c>
      <c r="L45" s="212" t="str">
        <f>IF(Бланк!$J45="","",Бланк!$J45/1000)</f>
        <v/>
      </c>
      <c r="M45" s="213" t="str">
        <f t="shared" si="0"/>
        <v/>
      </c>
      <c r="N45" s="213" t="str">
        <f>IF($K45="","",IF(OR($K45="J № 1",$K45="J № 2",$K45="J № 2L",$K45="J № 2R",$K45="AJ № 2",$K45="AJ № 2L",$K45="AJ № 2R",$K45="U",$K45="V"),$L45*$E45*Прайс!$J$45,IF(OR($K45="AJ № 3R",$K45="AJ № 4R",$K45="AJ № 5R",$K45="AJ № 3L",$K45="AJ № 4L",$K45="AJ № 5L",$K45="AJ № 3",$K45="AJ № 4",$K45="AJ № 5",$K45="J № 3",$K45="J № 4",$K45="J № 5",$K45="J № 6",$K45="J № 7",$K45="L",$K45="AL"),Прайс!$J$45*$E45,IF(OR($K45="J № 3L",$K45="J № 3R",$K45="J № 4L",$K45="J № 4R",$K45="J № 5L",$K45="J № 5R"),$L45/2*Прайс!$J$45*$E45,IF($K45="45 град.",$L45*Прайс!$J$50*$E45,0)))))</f>
        <v/>
      </c>
      <c r="O45" s="210" t="str">
        <f>IF(Бланк!$L45="","",Бланк!$L45)</f>
        <v/>
      </c>
      <c r="P45" s="210" t="str">
        <f>IF(Бланк!$M45="","",Бланк!$M45)</f>
        <v/>
      </c>
      <c r="Q45" s="214"/>
      <c r="R45" s="215"/>
      <c r="S45" s="210" t="str">
        <f>IF(Бланк!$P45="","",Бланк!$P45)</f>
        <v/>
      </c>
      <c r="T45" s="209" t="str">
        <f>IF($S45="","",VLOOKUP($S45,Лист1!$S$5:$T$32,2,FALSE))</f>
        <v/>
      </c>
      <c r="U45" s="215"/>
      <c r="V45" s="212"/>
      <c r="W45" s="212"/>
      <c r="X45" s="212"/>
      <c r="Y45" s="212"/>
      <c r="Z45" s="209"/>
      <c r="AA45" s="209" t="e">
        <f>VLOOKUP($S45,Прайс!$C$62:$E$90,3,FALSE)</f>
        <v>#N/A</v>
      </c>
      <c r="AB45" s="210" t="str">
        <f>IF(Бланк!$X45="","",Бланк!$X45)</f>
        <v/>
      </c>
      <c r="AC45" s="210" t="str">
        <f>IF(Бланк!$Y45="","",Бланк!$Y45)</f>
        <v/>
      </c>
      <c r="AD45" s="210" t="str">
        <f>IF(Бланк!$Z45="","",Бланк!$Z45)</f>
        <v/>
      </c>
      <c r="AE45" s="210" t="str">
        <f>IF(Бланк!$AA45="","",Бланк!$AA45)</f>
        <v/>
      </c>
      <c r="AF45" s="212"/>
      <c r="AG45" s="216"/>
      <c r="AH45" s="211">
        <f>IF(OR($C45=0,$C45=""),0,IF(AND($AB45="Матове",$AC45="Відкрита пора",$AA45=1,$AD45="Ламінат",OR($F45=4,$F45=6,$F45=8,$F45=10,$F45=16)),$AP45*Прайс!$G$17,IF(AND($AB45="Матове",$AC45="Відкрита пора",$AA45=2,$AD45="Ламінат",OR($F45=4,$F45=6,$F45=8,$F45=10,$F45=16)),$AP45*Прайс!$G$18,IF(AND($AB45="Матове",$AC45="Закрита пора",$AA45=1,$AD45="Ламінат",OR($F45=4,$F45=6,$F45=8,$F45=10,$F45=16)),$AP45*Прайс!$G$19,IF(AND($AB45="Матове",$AC45="Закрита пора",$AA45=2,$AD45="Ламінат",OR($F45=4,$F45=6,$F45=8,$F45=10,$F45=16)),$AP45*Прайс!$G$20,IF(AND($AB45="Глянець",$AC45="Закрита пора",$AA45=1,$AD45="Ламінат",OR($F45=4,$F45=6,$F45=8,$F45=10,$F45=16)),$AP45*Прайс!$G$21,IF(AND($AB45="Глянець",$AC45="Закрита пора",$AA45=2,$AD45="Ламінат",OR($F45=4,$F45=6,$F45=8,$F45=10,$F45=16)),$AP45*Прайс!$G$22,IF(AND($AB45="Матове",$AC45="Відкрита пора",$AA45=1,$AD45="Матове",$AE45="Відкрита пора",OR($F45=4,$F45=6,$F45=8,$F45=10,$F45=16)),$AP45*Прайс!$G$23,IF(AND($AB45="Матове",$AC45="Відкрита пора",$AA45=2,$AD45="Матове",$AE45="Відкрита пора",OR($F45=4,$F45=6,$F45=8,$F45=10,$F45=16)),$AP45*Прайс!$G$24,IF(AND($AB45="Матове",$AC45="Закрита пора",$AA45=1,$AD45="Матове",$AE45="Відкрита пора",OR($F45=4,$F45=6,$F45=8,$F45=10,$F45=16)),$AP45*Прайс!$G$25,IF(AND($AB45="Матове",$AC45="Закрита пора",$AA45=2,$AD45="Матове",$AE45="Відкрита пора",OR($F45=4,$F45=6,$F45=8,$F45=10,$F45=16)),$AP45*Прайс!$G$26,IF(AND($AB45="Глянець",$AC45="Закрита пора",$AA45=1,$AD45="Матове",$AE45="Відкрита пора",OR($F45=4,$F45=6,$F45=8,$F45=10,$F45=16)),$AP45*Прайс!$G$27,IF(AND($AB45="Глянець",$AC45="Закрита пора",$AA45=2,$AD45="Матове",$AE45="Відкрита пора",OR($F45=4,$F45=6,$F45=8,$F45=10,$F45=16)),$AP45*Прайс!$G$28,0)))))))))))))</f>
        <v>0</v>
      </c>
      <c r="AI45" s="211">
        <f>IF(OR($C45=0,$C45=""),0,IF(AND($AB45="Матове",$AC45="Відкрита пора",$AA45=1,$AD45="Ламінат",$F45=19),$AP45*Прайс!$I$17,IF(AND($AB45="Матове",$AC45="Відкрита пора",$AA45=2,$AD45="Ламінат",$F45=19),$AP45*Прайс!$I$18,IF(AND($AB45="Матове",$AC45="Закрита пора",$AA45=1,$AD45="Ламінат",$F45=19),$AP45*Прайс!$I$19,IF(AND($AB45="Матове",$AC45="Закрита пора",$AA45=2,$AD45="Ламінат",$F45=19),$AP45*Прайс!$I$20,IF(AND($AB45="Глянець",$AC45="Закрита пора",$AA45=1,$AD45="Ламінат",$F45=19),$AP45*Прайс!$I$21,IF(AND($AB45="Глянець",$AC45="Закрита пора",$AA45=2,$AD45="Ламінат",$F45=19),$AP45*Прайс!$I$22,IF(AND($AB45="Матове",$AC45="Відкрита пора",$AA45=1,$AD45="Матове",$AE45="Відкрита пора",$F45=19),$AP45*Прайс!$I$23,IF(AND($AB45="Матове",$AC45="Відкрита пора",$AA45=2,$AD45="Матове",$AE45="Відкрита пора",$F45=19),$AP45*Прайс!$I$24,IF(AND($AB45="Матове",$AC45="Закрита пора",$AA45=1,$AD45="Матове",$AE45="Відкрита пора",$F45=19),$AP45*Прайс!$I$25,IF(AND($AB45="Матове",$AC45="Закрита пора",$AA45=2,$AD45="Матове",$AE45="Відкрита пора",$F45=19),$AP45*Прайс!$I$26,IF(AND($AB45="Глянець",$AC45="Закрита пора",$AA45=1,$AD45="Матове",$AE45="Відкрита пора",$F45=19),$AP45*Прайс!$I$27,IF(AND($AB45="Глянець",$AC45="Закрита пора",$AA45=2,$AD45="Матове",$AE45="Відкрита пора",$F45=19),$AP45*Прайс!$I$28,0)))))))))))))</f>
        <v>0</v>
      </c>
      <c r="AJ45" s="210" t="str">
        <f>IF(Бланк!$AD45="","",Бланк!$AD45*E45)</f>
        <v/>
      </c>
      <c r="AK45" s="213" t="str">
        <f>IF(OR($AJ45=0,$AJ45=""),"",$AJ45*Прайс!$J$47)</f>
        <v/>
      </c>
      <c r="AL45" s="217"/>
      <c r="AM45" s="222"/>
      <c r="AN45" s="222"/>
      <c r="AO45" s="218"/>
      <c r="AP45" s="107">
        <f t="shared" si="1"/>
        <v>0</v>
      </c>
      <c r="AQ45" s="207"/>
    </row>
    <row r="46" spans="2:43" s="221" customFormat="1" ht="20.25" x14ac:dyDescent="0.3">
      <c r="B46" s="219">
        <v>26</v>
      </c>
      <c r="C46" s="209">
        <f>Бланк!C46</f>
        <v>0</v>
      </c>
      <c r="D46" s="209">
        <f>Бланк!D46</f>
        <v>0</v>
      </c>
      <c r="E46" s="209">
        <f>Бланк!E46</f>
        <v>0</v>
      </c>
      <c r="F46" s="209">
        <f>Бланк!F46</f>
        <v>0</v>
      </c>
      <c r="G46" s="209"/>
      <c r="H46" s="212"/>
      <c r="I46" s="210" t="str">
        <f>IF(Бланк!$I46="","",Бланк!$I46)</f>
        <v/>
      </c>
      <c r="J46" s="211" t="str">
        <f>IF(OR($C46="",$C46=0),"",IF($I46="Пряма з чвертю",(Прайс!$J$42+Прайс!$J$44)*Просчёт!$E46,IF($I46="Пряма без чверті",Просчёт!$E46*Прайс!$J$42,"")))</f>
        <v/>
      </c>
      <c r="K46" s="210" t="str">
        <f>IF(Бланк!$K46="","",Бланк!$K46)</f>
        <v/>
      </c>
      <c r="L46" s="212" t="str">
        <f>IF(Бланк!$J46="","",Бланк!$J46/1000)</f>
        <v/>
      </c>
      <c r="M46" s="213" t="str">
        <f t="shared" si="0"/>
        <v/>
      </c>
      <c r="N46" s="213" t="str">
        <f>IF($K46="","",IF(OR($K46="J № 1",$K46="J № 2",$K46="J № 2L",$K46="J № 2R",$K46="AJ № 2",$K46="AJ № 2L",$K46="AJ № 2R",$K46="U",$K46="V"),$L46*$E46*Прайс!$J$45,IF(OR($K46="AJ № 3R",$K46="AJ № 4R",$K46="AJ № 5R",$K46="AJ № 3L",$K46="AJ № 4L",$K46="AJ № 5L",$K46="AJ № 3",$K46="AJ № 4",$K46="AJ № 5",$K46="J № 3",$K46="J № 4",$K46="J № 5",$K46="J № 6",$K46="J № 7",$K46="L",$K46="AL"),Прайс!$J$45*$E46,IF(OR($K46="J № 3L",$K46="J № 3R",$K46="J № 4L",$K46="J № 4R",$K46="J № 5L",$K46="J № 5R"),$L46/2*Прайс!$J$45*$E46,IF($K46="45 град.",$L46*Прайс!$J$50*$E46,0)))))</f>
        <v/>
      </c>
      <c r="O46" s="210" t="str">
        <f>IF(Бланк!$L46="","",Бланк!$L46)</f>
        <v/>
      </c>
      <c r="P46" s="210" t="str">
        <f>IF(Бланк!$M46="","",Бланк!$M46)</f>
        <v/>
      </c>
      <c r="Q46" s="214"/>
      <c r="R46" s="215"/>
      <c r="S46" s="210" t="str">
        <f>IF(Бланк!$P46="","",Бланк!$P46)</f>
        <v/>
      </c>
      <c r="T46" s="209" t="str">
        <f>IF($S46="","",VLOOKUP($S46,Лист1!$S$5:$T$32,2,FALSE))</f>
        <v/>
      </c>
      <c r="U46" s="215"/>
      <c r="V46" s="212"/>
      <c r="W46" s="212"/>
      <c r="X46" s="212"/>
      <c r="Y46" s="212"/>
      <c r="Z46" s="209"/>
      <c r="AA46" s="209" t="e">
        <f>VLOOKUP($S46,Прайс!$C$62:$E$90,3,FALSE)</f>
        <v>#N/A</v>
      </c>
      <c r="AB46" s="210" t="str">
        <f>IF(Бланк!$X46="","",Бланк!$X46)</f>
        <v/>
      </c>
      <c r="AC46" s="210" t="str">
        <f>IF(Бланк!$Y46="","",Бланк!$Y46)</f>
        <v/>
      </c>
      <c r="AD46" s="210" t="str">
        <f>IF(Бланк!$Z46="","",Бланк!$Z46)</f>
        <v/>
      </c>
      <c r="AE46" s="210" t="str">
        <f>IF(Бланк!$AA46="","",Бланк!$AA46)</f>
        <v/>
      </c>
      <c r="AF46" s="212"/>
      <c r="AG46" s="216"/>
      <c r="AH46" s="211">
        <f>IF(OR($C46=0,$C46=""),0,IF(AND($AB46="Матове",$AC46="Відкрита пора",$AA46=1,$AD46="Ламінат",OR($F46=4,$F46=6,$F46=8,$F46=10,$F46=16)),$AP46*Прайс!$G$17,IF(AND($AB46="Матове",$AC46="Відкрита пора",$AA46=2,$AD46="Ламінат",OR($F46=4,$F46=6,$F46=8,$F46=10,$F46=16)),$AP46*Прайс!$G$18,IF(AND($AB46="Матове",$AC46="Закрита пора",$AA46=1,$AD46="Ламінат",OR($F46=4,$F46=6,$F46=8,$F46=10,$F46=16)),$AP46*Прайс!$G$19,IF(AND($AB46="Матове",$AC46="Закрита пора",$AA46=2,$AD46="Ламінат",OR($F46=4,$F46=6,$F46=8,$F46=10,$F46=16)),$AP46*Прайс!$G$20,IF(AND($AB46="Глянець",$AC46="Закрита пора",$AA46=1,$AD46="Ламінат",OR($F46=4,$F46=6,$F46=8,$F46=10,$F46=16)),$AP46*Прайс!$G$21,IF(AND($AB46="Глянець",$AC46="Закрита пора",$AA46=2,$AD46="Ламінат",OR($F46=4,$F46=6,$F46=8,$F46=10,$F46=16)),$AP46*Прайс!$G$22,IF(AND($AB46="Матове",$AC46="Відкрита пора",$AA46=1,$AD46="Матове",$AE46="Відкрита пора",OR($F46=4,$F46=6,$F46=8,$F46=10,$F46=16)),$AP46*Прайс!$G$23,IF(AND($AB46="Матове",$AC46="Відкрита пора",$AA46=2,$AD46="Матове",$AE46="Відкрита пора",OR($F46=4,$F46=6,$F46=8,$F46=10,$F46=16)),$AP46*Прайс!$G$24,IF(AND($AB46="Матове",$AC46="Закрита пора",$AA46=1,$AD46="Матове",$AE46="Відкрита пора",OR($F46=4,$F46=6,$F46=8,$F46=10,$F46=16)),$AP46*Прайс!$G$25,IF(AND($AB46="Матове",$AC46="Закрита пора",$AA46=2,$AD46="Матове",$AE46="Відкрита пора",OR($F46=4,$F46=6,$F46=8,$F46=10,$F46=16)),$AP46*Прайс!$G$26,IF(AND($AB46="Глянець",$AC46="Закрита пора",$AA46=1,$AD46="Матове",$AE46="Відкрита пора",OR($F46=4,$F46=6,$F46=8,$F46=10,$F46=16)),$AP46*Прайс!$G$27,IF(AND($AB46="Глянець",$AC46="Закрита пора",$AA46=2,$AD46="Матове",$AE46="Відкрита пора",OR($F46=4,$F46=6,$F46=8,$F46=10,$F46=16)),$AP46*Прайс!$G$28,0)))))))))))))</f>
        <v>0</v>
      </c>
      <c r="AI46" s="211">
        <f>IF(OR($C46=0,$C46=""),0,IF(AND($AB46="Матове",$AC46="Відкрита пора",$AA46=1,$AD46="Ламінат",$F46=19),$AP46*Прайс!$I$17,IF(AND($AB46="Матове",$AC46="Відкрита пора",$AA46=2,$AD46="Ламінат",$F46=19),$AP46*Прайс!$I$18,IF(AND($AB46="Матове",$AC46="Закрита пора",$AA46=1,$AD46="Ламінат",$F46=19),$AP46*Прайс!$I$19,IF(AND($AB46="Матове",$AC46="Закрита пора",$AA46=2,$AD46="Ламінат",$F46=19),$AP46*Прайс!$I$20,IF(AND($AB46="Глянець",$AC46="Закрита пора",$AA46=1,$AD46="Ламінат",$F46=19),$AP46*Прайс!$I$21,IF(AND($AB46="Глянець",$AC46="Закрита пора",$AA46=2,$AD46="Ламінат",$F46=19),$AP46*Прайс!$I$22,IF(AND($AB46="Матове",$AC46="Відкрита пора",$AA46=1,$AD46="Матове",$AE46="Відкрита пора",$F46=19),$AP46*Прайс!$I$23,IF(AND($AB46="Матове",$AC46="Відкрита пора",$AA46=2,$AD46="Матове",$AE46="Відкрита пора",$F46=19),$AP46*Прайс!$I$24,IF(AND($AB46="Матове",$AC46="Закрита пора",$AA46=1,$AD46="Матове",$AE46="Відкрита пора",$F46=19),$AP46*Прайс!$I$25,IF(AND($AB46="Матове",$AC46="Закрита пора",$AA46=2,$AD46="Матове",$AE46="Відкрита пора",$F46=19),$AP46*Прайс!$I$26,IF(AND($AB46="Глянець",$AC46="Закрита пора",$AA46=1,$AD46="Матове",$AE46="Відкрита пора",$F46=19),$AP46*Прайс!$I$27,IF(AND($AB46="Глянець",$AC46="Закрита пора",$AA46=2,$AD46="Матове",$AE46="Відкрита пора",$F46=19),$AP46*Прайс!$I$28,0)))))))))))))</f>
        <v>0</v>
      </c>
      <c r="AJ46" s="210" t="str">
        <f>IF(Бланк!$AD46="","",Бланк!$AD46*E46)</f>
        <v/>
      </c>
      <c r="AK46" s="213" t="str">
        <f>IF(OR($AJ46=0,$AJ46=""),"",$AJ46*Прайс!$J$47)</f>
        <v/>
      </c>
      <c r="AL46" s="217"/>
      <c r="AM46" s="222"/>
      <c r="AN46" s="222"/>
      <c r="AO46" s="218"/>
      <c r="AP46" s="107">
        <f t="shared" si="1"/>
        <v>0</v>
      </c>
      <c r="AQ46" s="207"/>
    </row>
    <row r="47" spans="2:43" s="221" customFormat="1" ht="20.25" x14ac:dyDescent="0.3">
      <c r="B47" s="219">
        <v>27</v>
      </c>
      <c r="C47" s="209">
        <f>Бланк!C47</f>
        <v>0</v>
      </c>
      <c r="D47" s="209">
        <f>Бланк!D47</f>
        <v>0</v>
      </c>
      <c r="E47" s="209">
        <f>Бланк!E47</f>
        <v>0</v>
      </c>
      <c r="F47" s="209">
        <f>Бланк!F47</f>
        <v>0</v>
      </c>
      <c r="G47" s="209"/>
      <c r="H47" s="212"/>
      <c r="I47" s="210" t="str">
        <f>IF(Бланк!$I47="","",Бланк!$I47)</f>
        <v/>
      </c>
      <c r="J47" s="211" t="str">
        <f>IF(OR($C47="",$C47=0),"",IF($I47="Пряма з чвертю",(Прайс!$J$42+Прайс!$J$44)*Просчёт!$E47,IF($I47="Пряма без чверті",Просчёт!$E47*Прайс!$J$42,"")))</f>
        <v/>
      </c>
      <c r="K47" s="210" t="str">
        <f>IF(Бланк!$K47="","",Бланк!$K47)</f>
        <v/>
      </c>
      <c r="L47" s="212" t="str">
        <f>IF(Бланк!$J47="","",Бланк!$J47/1000)</f>
        <v/>
      </c>
      <c r="M47" s="213" t="str">
        <f t="shared" si="0"/>
        <v/>
      </c>
      <c r="N47" s="213" t="str">
        <f>IF($K47="","",IF(OR($K47="J № 1",$K47="J № 2",$K47="J № 2L",$K47="J № 2R",$K47="AJ № 2",$K47="AJ № 2L",$K47="AJ № 2R",$K47="U",$K47="V"),$L47*$E47*Прайс!$J$45,IF(OR($K47="AJ № 3R",$K47="AJ № 4R",$K47="AJ № 5R",$K47="AJ № 3L",$K47="AJ № 4L",$K47="AJ № 5L",$K47="AJ № 3",$K47="AJ № 4",$K47="AJ № 5",$K47="J № 3",$K47="J № 4",$K47="J № 5",$K47="J № 6",$K47="J № 7",$K47="L",$K47="AL"),Прайс!$J$45*$E47,IF(OR($K47="J № 3L",$K47="J № 3R",$K47="J № 4L",$K47="J № 4R",$K47="J № 5L",$K47="J № 5R"),$L47/2*Прайс!$J$45*$E47,IF($K47="45 град.",$L47*Прайс!$J$50*$E47,0)))))</f>
        <v/>
      </c>
      <c r="O47" s="210" t="str">
        <f>IF(Бланк!$L47="","",Бланк!$L47)</f>
        <v/>
      </c>
      <c r="P47" s="210" t="str">
        <f>IF(Бланк!$M47="","",Бланк!$M47)</f>
        <v/>
      </c>
      <c r="Q47" s="214"/>
      <c r="R47" s="215"/>
      <c r="S47" s="210" t="str">
        <f>IF(Бланк!$P47="","",Бланк!$P47)</f>
        <v/>
      </c>
      <c r="T47" s="209" t="str">
        <f>IF($S47="","",VLOOKUP($S47,Лист1!$S$5:$T$32,2,FALSE))</f>
        <v/>
      </c>
      <c r="U47" s="215"/>
      <c r="V47" s="212"/>
      <c r="W47" s="212"/>
      <c r="X47" s="212"/>
      <c r="Y47" s="212"/>
      <c r="Z47" s="209"/>
      <c r="AA47" s="209" t="e">
        <f>VLOOKUP($S47,Прайс!$C$62:$E$90,3,FALSE)</f>
        <v>#N/A</v>
      </c>
      <c r="AB47" s="210" t="str">
        <f>IF(Бланк!$X47="","",Бланк!$X47)</f>
        <v/>
      </c>
      <c r="AC47" s="210" t="str">
        <f>IF(Бланк!$Y47="","",Бланк!$Y47)</f>
        <v/>
      </c>
      <c r="AD47" s="210" t="str">
        <f>IF(Бланк!$Z47="","",Бланк!$Z47)</f>
        <v/>
      </c>
      <c r="AE47" s="210" t="str">
        <f>IF(Бланк!$AA47="","",Бланк!$AA47)</f>
        <v/>
      </c>
      <c r="AF47" s="212"/>
      <c r="AG47" s="216"/>
      <c r="AH47" s="211">
        <f>IF(OR($C47=0,$C47=""),0,IF(AND($AB47="Матове",$AC47="Відкрита пора",$AA47=1,$AD47="Ламінат",OR($F47=4,$F47=6,$F47=8,$F47=10,$F47=16)),$AP47*Прайс!$G$17,IF(AND($AB47="Матове",$AC47="Відкрита пора",$AA47=2,$AD47="Ламінат",OR($F47=4,$F47=6,$F47=8,$F47=10,$F47=16)),$AP47*Прайс!$G$18,IF(AND($AB47="Матове",$AC47="Закрита пора",$AA47=1,$AD47="Ламінат",OR($F47=4,$F47=6,$F47=8,$F47=10,$F47=16)),$AP47*Прайс!$G$19,IF(AND($AB47="Матове",$AC47="Закрита пора",$AA47=2,$AD47="Ламінат",OR($F47=4,$F47=6,$F47=8,$F47=10,$F47=16)),$AP47*Прайс!$G$20,IF(AND($AB47="Глянець",$AC47="Закрита пора",$AA47=1,$AD47="Ламінат",OR($F47=4,$F47=6,$F47=8,$F47=10,$F47=16)),$AP47*Прайс!$G$21,IF(AND($AB47="Глянець",$AC47="Закрита пора",$AA47=2,$AD47="Ламінат",OR($F47=4,$F47=6,$F47=8,$F47=10,$F47=16)),$AP47*Прайс!$G$22,IF(AND($AB47="Матове",$AC47="Відкрита пора",$AA47=1,$AD47="Матове",$AE47="Відкрита пора",OR($F47=4,$F47=6,$F47=8,$F47=10,$F47=16)),$AP47*Прайс!$G$23,IF(AND($AB47="Матове",$AC47="Відкрита пора",$AA47=2,$AD47="Матове",$AE47="Відкрита пора",OR($F47=4,$F47=6,$F47=8,$F47=10,$F47=16)),$AP47*Прайс!$G$24,IF(AND($AB47="Матове",$AC47="Закрита пора",$AA47=1,$AD47="Матове",$AE47="Відкрита пора",OR($F47=4,$F47=6,$F47=8,$F47=10,$F47=16)),$AP47*Прайс!$G$25,IF(AND($AB47="Матове",$AC47="Закрита пора",$AA47=2,$AD47="Матове",$AE47="Відкрита пора",OR($F47=4,$F47=6,$F47=8,$F47=10,$F47=16)),$AP47*Прайс!$G$26,IF(AND($AB47="Глянець",$AC47="Закрита пора",$AA47=1,$AD47="Матове",$AE47="Відкрита пора",OR($F47=4,$F47=6,$F47=8,$F47=10,$F47=16)),$AP47*Прайс!$G$27,IF(AND($AB47="Глянець",$AC47="Закрита пора",$AA47=2,$AD47="Матове",$AE47="Відкрита пора",OR($F47=4,$F47=6,$F47=8,$F47=10,$F47=16)),$AP47*Прайс!$G$28,0)))))))))))))</f>
        <v>0</v>
      </c>
      <c r="AI47" s="211">
        <f>IF(OR($C47=0,$C47=""),0,IF(AND($AB47="Матове",$AC47="Відкрита пора",$AA47=1,$AD47="Ламінат",$F47=19),$AP47*Прайс!$I$17,IF(AND($AB47="Матове",$AC47="Відкрита пора",$AA47=2,$AD47="Ламінат",$F47=19),$AP47*Прайс!$I$18,IF(AND($AB47="Матове",$AC47="Закрита пора",$AA47=1,$AD47="Ламінат",$F47=19),$AP47*Прайс!$I$19,IF(AND($AB47="Матове",$AC47="Закрита пора",$AA47=2,$AD47="Ламінат",$F47=19),$AP47*Прайс!$I$20,IF(AND($AB47="Глянець",$AC47="Закрита пора",$AA47=1,$AD47="Ламінат",$F47=19),$AP47*Прайс!$I$21,IF(AND($AB47="Глянець",$AC47="Закрита пора",$AA47=2,$AD47="Ламінат",$F47=19),$AP47*Прайс!$I$22,IF(AND($AB47="Матове",$AC47="Відкрита пора",$AA47=1,$AD47="Матове",$AE47="Відкрита пора",$F47=19),$AP47*Прайс!$I$23,IF(AND($AB47="Матове",$AC47="Відкрита пора",$AA47=2,$AD47="Матове",$AE47="Відкрита пора",$F47=19),$AP47*Прайс!$I$24,IF(AND($AB47="Матове",$AC47="Закрита пора",$AA47=1,$AD47="Матове",$AE47="Відкрита пора",$F47=19),$AP47*Прайс!$I$25,IF(AND($AB47="Матове",$AC47="Закрита пора",$AA47=2,$AD47="Матове",$AE47="Відкрита пора",$F47=19),$AP47*Прайс!$I$26,IF(AND($AB47="Глянець",$AC47="Закрита пора",$AA47=1,$AD47="Матове",$AE47="Відкрита пора",$F47=19),$AP47*Прайс!$I$27,IF(AND($AB47="Глянець",$AC47="Закрита пора",$AA47=2,$AD47="Матове",$AE47="Відкрита пора",$F47=19),$AP47*Прайс!$I$28,0)))))))))))))</f>
        <v>0</v>
      </c>
      <c r="AJ47" s="210" t="str">
        <f>IF(Бланк!$AD47="","",Бланк!$AD47*E47)</f>
        <v/>
      </c>
      <c r="AK47" s="213" t="str">
        <f>IF(OR($AJ47=0,$AJ47=""),"",$AJ47*Прайс!$J$47)</f>
        <v/>
      </c>
      <c r="AL47" s="217"/>
      <c r="AM47" s="222"/>
      <c r="AN47" s="222"/>
      <c r="AO47" s="218"/>
      <c r="AP47" s="107">
        <f t="shared" si="1"/>
        <v>0</v>
      </c>
      <c r="AQ47" s="207"/>
    </row>
    <row r="48" spans="2:43" s="221" customFormat="1" ht="20.25" x14ac:dyDescent="0.3">
      <c r="B48" s="219">
        <v>28</v>
      </c>
      <c r="C48" s="209">
        <f>Бланк!C48</f>
        <v>0</v>
      </c>
      <c r="D48" s="209">
        <f>Бланк!D48</f>
        <v>0</v>
      </c>
      <c r="E48" s="209">
        <f>Бланк!E48</f>
        <v>0</v>
      </c>
      <c r="F48" s="209">
        <f>Бланк!F48</f>
        <v>0</v>
      </c>
      <c r="G48" s="209"/>
      <c r="H48" s="212"/>
      <c r="I48" s="210" t="str">
        <f>IF(Бланк!$I48="","",Бланк!$I48)</f>
        <v/>
      </c>
      <c r="J48" s="211" t="str">
        <f>IF(OR($C48="",$C48=0),"",IF($I48="Пряма з чвертю",(Прайс!$J$42+Прайс!$J$44)*Просчёт!$E48,IF($I48="Пряма без чверті",Просчёт!$E48*Прайс!$J$42,"")))</f>
        <v/>
      </c>
      <c r="K48" s="210" t="str">
        <f>IF(Бланк!$K48="","",Бланк!$K48)</f>
        <v/>
      </c>
      <c r="L48" s="212" t="str">
        <f>IF(Бланк!$J48="","",Бланк!$J48/1000)</f>
        <v/>
      </c>
      <c r="M48" s="213" t="str">
        <f t="shared" si="0"/>
        <v/>
      </c>
      <c r="N48" s="213" t="str">
        <f>IF($K48="","",IF(OR($K48="J № 1",$K48="J № 2",$K48="J № 2L",$K48="J № 2R",$K48="AJ № 2",$K48="AJ № 2L",$K48="AJ № 2R",$K48="U",$K48="V"),$L48*$E48*Прайс!$J$45,IF(OR($K48="AJ № 3R",$K48="AJ № 4R",$K48="AJ № 5R",$K48="AJ № 3L",$K48="AJ № 4L",$K48="AJ № 5L",$K48="AJ № 3",$K48="AJ № 4",$K48="AJ № 5",$K48="J № 3",$K48="J № 4",$K48="J № 5",$K48="J № 6",$K48="J № 7",$K48="L",$K48="AL"),Прайс!$J$45*$E48,IF(OR($K48="J № 3L",$K48="J № 3R",$K48="J № 4L",$K48="J № 4R",$K48="J № 5L",$K48="J № 5R"),$L48/2*Прайс!$J$45*$E48,IF($K48="45 град.",$L48*Прайс!$J$50*$E48,0)))))</f>
        <v/>
      </c>
      <c r="O48" s="210" t="str">
        <f>IF(Бланк!$L48="","",Бланк!$L48)</f>
        <v/>
      </c>
      <c r="P48" s="210" t="str">
        <f>IF(Бланк!$M48="","",Бланк!$M48)</f>
        <v/>
      </c>
      <c r="Q48" s="214"/>
      <c r="R48" s="215"/>
      <c r="S48" s="210" t="str">
        <f>IF(Бланк!$P48="","",Бланк!$P48)</f>
        <v/>
      </c>
      <c r="T48" s="209" t="str">
        <f>IF($S48="","",VLOOKUP($S48,Лист1!$S$5:$T$32,2,FALSE))</f>
        <v/>
      </c>
      <c r="U48" s="215"/>
      <c r="V48" s="212"/>
      <c r="W48" s="212"/>
      <c r="X48" s="212"/>
      <c r="Y48" s="212"/>
      <c r="Z48" s="209"/>
      <c r="AA48" s="209" t="e">
        <f>VLOOKUP($S48,Прайс!$C$62:$E$90,3,FALSE)</f>
        <v>#N/A</v>
      </c>
      <c r="AB48" s="210" t="str">
        <f>IF(Бланк!$X48="","",Бланк!$X48)</f>
        <v/>
      </c>
      <c r="AC48" s="210" t="str">
        <f>IF(Бланк!$Y48="","",Бланк!$Y48)</f>
        <v/>
      </c>
      <c r="AD48" s="210" t="str">
        <f>IF(Бланк!$Z48="","",Бланк!$Z48)</f>
        <v/>
      </c>
      <c r="AE48" s="210" t="str">
        <f>IF(Бланк!$AA48="","",Бланк!$AA48)</f>
        <v/>
      </c>
      <c r="AF48" s="212"/>
      <c r="AG48" s="216"/>
      <c r="AH48" s="211">
        <f>IF(OR($C48=0,$C48=""),0,IF(AND($AB48="Матове",$AC48="Відкрита пора",$AA48=1,$AD48="Ламінат",OR($F48=4,$F48=6,$F48=8,$F48=10,$F48=16)),$AP48*Прайс!$G$17,IF(AND($AB48="Матове",$AC48="Відкрита пора",$AA48=2,$AD48="Ламінат",OR($F48=4,$F48=6,$F48=8,$F48=10,$F48=16)),$AP48*Прайс!$G$18,IF(AND($AB48="Матове",$AC48="Закрита пора",$AA48=1,$AD48="Ламінат",OR($F48=4,$F48=6,$F48=8,$F48=10,$F48=16)),$AP48*Прайс!$G$19,IF(AND($AB48="Матове",$AC48="Закрита пора",$AA48=2,$AD48="Ламінат",OR($F48=4,$F48=6,$F48=8,$F48=10,$F48=16)),$AP48*Прайс!$G$20,IF(AND($AB48="Глянець",$AC48="Закрита пора",$AA48=1,$AD48="Ламінат",OR($F48=4,$F48=6,$F48=8,$F48=10,$F48=16)),$AP48*Прайс!$G$21,IF(AND($AB48="Глянець",$AC48="Закрита пора",$AA48=2,$AD48="Ламінат",OR($F48=4,$F48=6,$F48=8,$F48=10,$F48=16)),$AP48*Прайс!$G$22,IF(AND($AB48="Матове",$AC48="Відкрита пора",$AA48=1,$AD48="Матове",$AE48="Відкрита пора",OR($F48=4,$F48=6,$F48=8,$F48=10,$F48=16)),$AP48*Прайс!$G$23,IF(AND($AB48="Матове",$AC48="Відкрита пора",$AA48=2,$AD48="Матове",$AE48="Відкрита пора",OR($F48=4,$F48=6,$F48=8,$F48=10,$F48=16)),$AP48*Прайс!$G$24,IF(AND($AB48="Матове",$AC48="Закрита пора",$AA48=1,$AD48="Матове",$AE48="Відкрита пора",OR($F48=4,$F48=6,$F48=8,$F48=10,$F48=16)),$AP48*Прайс!$G$25,IF(AND($AB48="Матове",$AC48="Закрита пора",$AA48=2,$AD48="Матове",$AE48="Відкрита пора",OR($F48=4,$F48=6,$F48=8,$F48=10,$F48=16)),$AP48*Прайс!$G$26,IF(AND($AB48="Глянець",$AC48="Закрита пора",$AA48=1,$AD48="Матове",$AE48="Відкрита пора",OR($F48=4,$F48=6,$F48=8,$F48=10,$F48=16)),$AP48*Прайс!$G$27,IF(AND($AB48="Глянець",$AC48="Закрита пора",$AA48=2,$AD48="Матове",$AE48="Відкрита пора",OR($F48=4,$F48=6,$F48=8,$F48=10,$F48=16)),$AP48*Прайс!$G$28,0)))))))))))))</f>
        <v>0</v>
      </c>
      <c r="AI48" s="211">
        <f>IF(OR($C48=0,$C48=""),0,IF(AND($AB48="Матове",$AC48="Відкрита пора",$AA48=1,$AD48="Ламінат",$F48=19),$AP48*Прайс!$I$17,IF(AND($AB48="Матове",$AC48="Відкрита пора",$AA48=2,$AD48="Ламінат",$F48=19),$AP48*Прайс!$I$18,IF(AND($AB48="Матове",$AC48="Закрита пора",$AA48=1,$AD48="Ламінат",$F48=19),$AP48*Прайс!$I$19,IF(AND($AB48="Матове",$AC48="Закрита пора",$AA48=2,$AD48="Ламінат",$F48=19),$AP48*Прайс!$I$20,IF(AND($AB48="Глянець",$AC48="Закрита пора",$AA48=1,$AD48="Ламінат",$F48=19),$AP48*Прайс!$I$21,IF(AND($AB48="Глянець",$AC48="Закрита пора",$AA48=2,$AD48="Ламінат",$F48=19),$AP48*Прайс!$I$22,IF(AND($AB48="Матове",$AC48="Відкрита пора",$AA48=1,$AD48="Матове",$AE48="Відкрита пора",$F48=19),$AP48*Прайс!$I$23,IF(AND($AB48="Матове",$AC48="Відкрита пора",$AA48=2,$AD48="Матове",$AE48="Відкрита пора",$F48=19),$AP48*Прайс!$I$24,IF(AND($AB48="Матове",$AC48="Закрита пора",$AA48=1,$AD48="Матове",$AE48="Відкрита пора",$F48=19),$AP48*Прайс!$I$25,IF(AND($AB48="Матове",$AC48="Закрита пора",$AA48=2,$AD48="Матове",$AE48="Відкрита пора",$F48=19),$AP48*Прайс!$I$26,IF(AND($AB48="Глянець",$AC48="Закрита пора",$AA48=1,$AD48="Матове",$AE48="Відкрита пора",$F48=19),$AP48*Прайс!$I$27,IF(AND($AB48="Глянець",$AC48="Закрита пора",$AA48=2,$AD48="Матове",$AE48="Відкрита пора",$F48=19),$AP48*Прайс!$I$28,0)))))))))))))</f>
        <v>0</v>
      </c>
      <c r="AJ48" s="210" t="str">
        <f>IF(Бланк!$AD48="","",Бланк!$AD48*E48)</f>
        <v/>
      </c>
      <c r="AK48" s="213" t="str">
        <f>IF(OR($AJ48=0,$AJ48=""),"",$AJ48*Прайс!$J$47)</f>
        <v/>
      </c>
      <c r="AL48" s="217"/>
      <c r="AM48" s="222"/>
      <c r="AN48" s="222"/>
      <c r="AO48" s="218"/>
      <c r="AP48" s="107">
        <f t="shared" si="1"/>
        <v>0</v>
      </c>
      <c r="AQ48" s="207"/>
    </row>
    <row r="49" spans="2:43" s="221" customFormat="1" ht="20.25" x14ac:dyDescent="0.3">
      <c r="B49" s="219">
        <v>29</v>
      </c>
      <c r="C49" s="209">
        <f>Бланк!C49</f>
        <v>0</v>
      </c>
      <c r="D49" s="209">
        <f>Бланк!D49</f>
        <v>0</v>
      </c>
      <c r="E49" s="209">
        <f>Бланк!E49</f>
        <v>0</v>
      </c>
      <c r="F49" s="209">
        <f>Бланк!F49</f>
        <v>0</v>
      </c>
      <c r="G49" s="209"/>
      <c r="H49" s="212"/>
      <c r="I49" s="210" t="str">
        <f>IF(Бланк!$I49="","",Бланк!$I49)</f>
        <v/>
      </c>
      <c r="J49" s="211" t="str">
        <f>IF(OR($C49="",$C49=0),"",IF($I49="Пряма з чвертю",(Прайс!$J$42+Прайс!$J$44)*Просчёт!$E49,IF($I49="Пряма без чверті",Просчёт!$E49*Прайс!$J$42,"")))</f>
        <v/>
      </c>
      <c r="K49" s="210" t="str">
        <f>IF(Бланк!$K49="","",Бланк!$K49)</f>
        <v/>
      </c>
      <c r="L49" s="212" t="str">
        <f>IF(Бланк!$J49="","",Бланк!$J49/1000)</f>
        <v/>
      </c>
      <c r="M49" s="213" t="str">
        <f t="shared" si="0"/>
        <v/>
      </c>
      <c r="N49" s="213" t="str">
        <f>IF($K49="","",IF(OR($K49="J № 1",$K49="J № 2",$K49="J № 2L",$K49="J № 2R",$K49="AJ № 2",$K49="AJ № 2L",$K49="AJ № 2R",$K49="U",$K49="V"),$L49*$E49*Прайс!$J$45,IF(OR($K49="AJ № 3R",$K49="AJ № 4R",$K49="AJ № 5R",$K49="AJ № 3L",$K49="AJ № 4L",$K49="AJ № 5L",$K49="AJ № 3",$K49="AJ № 4",$K49="AJ № 5",$K49="J № 3",$K49="J № 4",$K49="J № 5",$K49="J № 6",$K49="J № 7",$K49="L",$K49="AL"),Прайс!$J$45*$E49,IF(OR($K49="J № 3L",$K49="J № 3R",$K49="J № 4L",$K49="J № 4R",$K49="J № 5L",$K49="J № 5R"),$L49/2*Прайс!$J$45*$E49,IF($K49="45 град.",$L49*Прайс!$J$50*$E49,0)))))</f>
        <v/>
      </c>
      <c r="O49" s="210" t="str">
        <f>IF(Бланк!$L49="","",Бланк!$L49)</f>
        <v/>
      </c>
      <c r="P49" s="210" t="str">
        <f>IF(Бланк!$M49="","",Бланк!$M49)</f>
        <v/>
      </c>
      <c r="Q49" s="214"/>
      <c r="R49" s="215"/>
      <c r="S49" s="210" t="str">
        <f>IF(Бланк!$P49="","",Бланк!$P49)</f>
        <v/>
      </c>
      <c r="T49" s="209" t="str">
        <f>IF($S49="","",VLOOKUP($S49,Лист1!$S$5:$T$32,2,FALSE))</f>
        <v/>
      </c>
      <c r="U49" s="215"/>
      <c r="V49" s="212"/>
      <c r="W49" s="212"/>
      <c r="X49" s="212"/>
      <c r="Y49" s="212"/>
      <c r="Z49" s="209"/>
      <c r="AA49" s="209" t="e">
        <f>VLOOKUP($S49,Прайс!$C$62:$E$90,3,FALSE)</f>
        <v>#N/A</v>
      </c>
      <c r="AB49" s="210" t="str">
        <f>IF(Бланк!$X49="","",Бланк!$X49)</f>
        <v/>
      </c>
      <c r="AC49" s="210" t="str">
        <f>IF(Бланк!$Y49="","",Бланк!$Y49)</f>
        <v/>
      </c>
      <c r="AD49" s="210" t="str">
        <f>IF(Бланк!$Z49="","",Бланк!$Z49)</f>
        <v/>
      </c>
      <c r="AE49" s="210" t="str">
        <f>IF(Бланк!$AA49="","",Бланк!$AA49)</f>
        <v/>
      </c>
      <c r="AF49" s="212"/>
      <c r="AG49" s="216"/>
      <c r="AH49" s="211">
        <f>IF(OR($C49=0,$C49=""),0,IF(AND($AB49="Матове",$AC49="Відкрита пора",$AA49=1,$AD49="Ламінат",OR($F49=4,$F49=6,$F49=8,$F49=10,$F49=16)),$AP49*Прайс!$G$17,IF(AND($AB49="Матове",$AC49="Відкрита пора",$AA49=2,$AD49="Ламінат",OR($F49=4,$F49=6,$F49=8,$F49=10,$F49=16)),$AP49*Прайс!$G$18,IF(AND($AB49="Матове",$AC49="Закрита пора",$AA49=1,$AD49="Ламінат",OR($F49=4,$F49=6,$F49=8,$F49=10,$F49=16)),$AP49*Прайс!$G$19,IF(AND($AB49="Матове",$AC49="Закрита пора",$AA49=2,$AD49="Ламінат",OR($F49=4,$F49=6,$F49=8,$F49=10,$F49=16)),$AP49*Прайс!$G$20,IF(AND($AB49="Глянець",$AC49="Закрита пора",$AA49=1,$AD49="Ламінат",OR($F49=4,$F49=6,$F49=8,$F49=10,$F49=16)),$AP49*Прайс!$G$21,IF(AND($AB49="Глянець",$AC49="Закрита пора",$AA49=2,$AD49="Ламінат",OR($F49=4,$F49=6,$F49=8,$F49=10,$F49=16)),$AP49*Прайс!$G$22,IF(AND($AB49="Матове",$AC49="Відкрита пора",$AA49=1,$AD49="Матове",$AE49="Відкрита пора",OR($F49=4,$F49=6,$F49=8,$F49=10,$F49=16)),$AP49*Прайс!$G$23,IF(AND($AB49="Матове",$AC49="Відкрита пора",$AA49=2,$AD49="Матове",$AE49="Відкрита пора",OR($F49=4,$F49=6,$F49=8,$F49=10,$F49=16)),$AP49*Прайс!$G$24,IF(AND($AB49="Матове",$AC49="Закрита пора",$AA49=1,$AD49="Матове",$AE49="Відкрита пора",OR($F49=4,$F49=6,$F49=8,$F49=10,$F49=16)),$AP49*Прайс!$G$25,IF(AND($AB49="Матове",$AC49="Закрита пора",$AA49=2,$AD49="Матове",$AE49="Відкрита пора",OR($F49=4,$F49=6,$F49=8,$F49=10,$F49=16)),$AP49*Прайс!$G$26,IF(AND($AB49="Глянець",$AC49="Закрита пора",$AA49=1,$AD49="Матове",$AE49="Відкрита пора",OR($F49=4,$F49=6,$F49=8,$F49=10,$F49=16)),$AP49*Прайс!$G$27,IF(AND($AB49="Глянець",$AC49="Закрита пора",$AA49=2,$AD49="Матове",$AE49="Відкрита пора",OR($F49=4,$F49=6,$F49=8,$F49=10,$F49=16)),$AP49*Прайс!$G$28,0)))))))))))))</f>
        <v>0</v>
      </c>
      <c r="AI49" s="211">
        <f>IF(OR($C49=0,$C49=""),0,IF(AND($AB49="Матове",$AC49="Відкрита пора",$AA49=1,$AD49="Ламінат",$F49=19),$AP49*Прайс!$I$17,IF(AND($AB49="Матове",$AC49="Відкрита пора",$AA49=2,$AD49="Ламінат",$F49=19),$AP49*Прайс!$I$18,IF(AND($AB49="Матове",$AC49="Закрита пора",$AA49=1,$AD49="Ламінат",$F49=19),$AP49*Прайс!$I$19,IF(AND($AB49="Матове",$AC49="Закрита пора",$AA49=2,$AD49="Ламінат",$F49=19),$AP49*Прайс!$I$20,IF(AND($AB49="Глянець",$AC49="Закрита пора",$AA49=1,$AD49="Ламінат",$F49=19),$AP49*Прайс!$I$21,IF(AND($AB49="Глянець",$AC49="Закрита пора",$AA49=2,$AD49="Ламінат",$F49=19),$AP49*Прайс!$I$22,IF(AND($AB49="Матове",$AC49="Відкрита пора",$AA49=1,$AD49="Матове",$AE49="Відкрита пора",$F49=19),$AP49*Прайс!$I$23,IF(AND($AB49="Матове",$AC49="Відкрита пора",$AA49=2,$AD49="Матове",$AE49="Відкрита пора",$F49=19),$AP49*Прайс!$I$24,IF(AND($AB49="Матове",$AC49="Закрита пора",$AA49=1,$AD49="Матове",$AE49="Відкрита пора",$F49=19),$AP49*Прайс!$I$25,IF(AND($AB49="Матове",$AC49="Закрита пора",$AA49=2,$AD49="Матове",$AE49="Відкрита пора",$F49=19),$AP49*Прайс!$I$26,IF(AND($AB49="Глянець",$AC49="Закрита пора",$AA49=1,$AD49="Матове",$AE49="Відкрита пора",$F49=19),$AP49*Прайс!$I$27,IF(AND($AB49="Глянець",$AC49="Закрита пора",$AA49=2,$AD49="Матове",$AE49="Відкрита пора",$F49=19),$AP49*Прайс!$I$28,0)))))))))))))</f>
        <v>0</v>
      </c>
      <c r="AJ49" s="210" t="str">
        <f>IF(Бланк!$AD49="","",Бланк!$AD49*E49)</f>
        <v/>
      </c>
      <c r="AK49" s="213" t="str">
        <f>IF(OR($AJ49=0,$AJ49=""),"",$AJ49*Прайс!$J$47)</f>
        <v/>
      </c>
      <c r="AL49" s="217"/>
      <c r="AM49" s="222"/>
      <c r="AN49" s="222"/>
      <c r="AO49" s="218"/>
      <c r="AP49" s="107">
        <f t="shared" si="1"/>
        <v>0</v>
      </c>
      <c r="AQ49" s="207"/>
    </row>
    <row r="50" spans="2:43" s="221" customFormat="1" ht="20.25" x14ac:dyDescent="0.3">
      <c r="B50" s="219">
        <v>30</v>
      </c>
      <c r="C50" s="209">
        <f>Бланк!C50</f>
        <v>0</v>
      </c>
      <c r="D50" s="209">
        <f>Бланк!D50</f>
        <v>0</v>
      </c>
      <c r="E50" s="209">
        <f>Бланк!E50</f>
        <v>0</v>
      </c>
      <c r="F50" s="209">
        <f>Бланк!F50</f>
        <v>0</v>
      </c>
      <c r="G50" s="209"/>
      <c r="H50" s="212"/>
      <c r="I50" s="210" t="str">
        <f>IF(Бланк!$I50="","",Бланк!$I50)</f>
        <v/>
      </c>
      <c r="J50" s="211" t="str">
        <f>IF(OR($C50="",$C50=0),"",IF($I50="Пряма з чвертю",(Прайс!$J$42+Прайс!$J$44)*Просчёт!$E50,IF($I50="Пряма без чверті",Просчёт!$E50*Прайс!$J$42,"")))</f>
        <v/>
      </c>
      <c r="K50" s="210" t="str">
        <f>IF(Бланк!$K50="","",Бланк!$K50)</f>
        <v/>
      </c>
      <c r="L50" s="212" t="str">
        <f>IF(Бланк!$J50="","",Бланк!$J50/1000)</f>
        <v/>
      </c>
      <c r="M50" s="213" t="str">
        <f t="shared" si="0"/>
        <v/>
      </c>
      <c r="N50" s="213" t="str">
        <f>IF($K50="","",IF(OR($K50="J № 1",$K50="J № 2",$K50="J № 2L",$K50="J № 2R",$K50="AJ № 2",$K50="AJ № 2L",$K50="AJ № 2R",$K50="U",$K50="V"),$L50*$E50*Прайс!$J$45,IF(OR($K50="AJ № 3R",$K50="AJ № 4R",$K50="AJ № 5R",$K50="AJ № 3L",$K50="AJ № 4L",$K50="AJ № 5L",$K50="AJ № 3",$K50="AJ № 4",$K50="AJ № 5",$K50="J № 3",$K50="J № 4",$K50="J № 5",$K50="J № 6",$K50="J № 7",$K50="L",$K50="AL"),Прайс!$J$45*$E50,IF(OR($K50="J № 3L",$K50="J № 3R",$K50="J № 4L",$K50="J № 4R",$K50="J № 5L",$K50="J № 5R"),$L50/2*Прайс!$J$45*$E50,IF($K50="45 град.",$L50*Прайс!$J$50*$E50,0)))))</f>
        <v/>
      </c>
      <c r="O50" s="210" t="str">
        <f>IF(Бланк!$L50="","",Бланк!$L50)</f>
        <v/>
      </c>
      <c r="P50" s="210" t="str">
        <f>IF(Бланк!$M50="","",Бланк!$M50)</f>
        <v/>
      </c>
      <c r="Q50" s="214"/>
      <c r="R50" s="215"/>
      <c r="S50" s="210" t="str">
        <f>IF(Бланк!$P50="","",Бланк!$P50)</f>
        <v/>
      </c>
      <c r="T50" s="209" t="str">
        <f>IF($S50="","",VLOOKUP($S50,Лист1!$S$5:$T$32,2,FALSE))</f>
        <v/>
      </c>
      <c r="U50" s="215"/>
      <c r="V50" s="212"/>
      <c r="W50" s="212"/>
      <c r="X50" s="212"/>
      <c r="Y50" s="212"/>
      <c r="Z50" s="209"/>
      <c r="AA50" s="209" t="e">
        <f>VLOOKUP($S50,Прайс!$C$62:$E$90,3,FALSE)</f>
        <v>#N/A</v>
      </c>
      <c r="AB50" s="210" t="str">
        <f>IF(Бланк!$X50="","",Бланк!$X50)</f>
        <v/>
      </c>
      <c r="AC50" s="210" t="str">
        <f>IF(Бланк!$Y50="","",Бланк!$Y50)</f>
        <v/>
      </c>
      <c r="AD50" s="210" t="str">
        <f>IF(Бланк!$Z50="","",Бланк!$Z50)</f>
        <v/>
      </c>
      <c r="AE50" s="210" t="str">
        <f>IF(Бланк!$AA50="","",Бланк!$AA50)</f>
        <v/>
      </c>
      <c r="AF50" s="212"/>
      <c r="AG50" s="216"/>
      <c r="AH50" s="211">
        <f>IF(OR($C50=0,$C50=""),0,IF(AND($AB50="Матове",$AC50="Відкрита пора",$AA50=1,$AD50="Ламінат",OR($F50=4,$F50=6,$F50=8,$F50=10,$F50=16)),$AP50*Прайс!$G$17,IF(AND($AB50="Матове",$AC50="Відкрита пора",$AA50=2,$AD50="Ламінат",OR($F50=4,$F50=6,$F50=8,$F50=10,$F50=16)),$AP50*Прайс!$G$18,IF(AND($AB50="Матове",$AC50="Закрита пора",$AA50=1,$AD50="Ламінат",OR($F50=4,$F50=6,$F50=8,$F50=10,$F50=16)),$AP50*Прайс!$G$19,IF(AND($AB50="Матове",$AC50="Закрита пора",$AA50=2,$AD50="Ламінат",OR($F50=4,$F50=6,$F50=8,$F50=10,$F50=16)),$AP50*Прайс!$G$20,IF(AND($AB50="Глянець",$AC50="Закрита пора",$AA50=1,$AD50="Ламінат",OR($F50=4,$F50=6,$F50=8,$F50=10,$F50=16)),$AP50*Прайс!$G$21,IF(AND($AB50="Глянець",$AC50="Закрита пора",$AA50=2,$AD50="Ламінат",OR($F50=4,$F50=6,$F50=8,$F50=10,$F50=16)),$AP50*Прайс!$G$22,IF(AND($AB50="Матове",$AC50="Відкрита пора",$AA50=1,$AD50="Матове",$AE50="Відкрита пора",OR($F50=4,$F50=6,$F50=8,$F50=10,$F50=16)),$AP50*Прайс!$G$23,IF(AND($AB50="Матове",$AC50="Відкрита пора",$AA50=2,$AD50="Матове",$AE50="Відкрита пора",OR($F50=4,$F50=6,$F50=8,$F50=10,$F50=16)),$AP50*Прайс!$G$24,IF(AND($AB50="Матове",$AC50="Закрита пора",$AA50=1,$AD50="Матове",$AE50="Відкрита пора",OR($F50=4,$F50=6,$F50=8,$F50=10,$F50=16)),$AP50*Прайс!$G$25,IF(AND($AB50="Матове",$AC50="Закрита пора",$AA50=2,$AD50="Матове",$AE50="Відкрита пора",OR($F50=4,$F50=6,$F50=8,$F50=10,$F50=16)),$AP50*Прайс!$G$26,IF(AND($AB50="Глянець",$AC50="Закрита пора",$AA50=1,$AD50="Матове",$AE50="Відкрита пора",OR($F50=4,$F50=6,$F50=8,$F50=10,$F50=16)),$AP50*Прайс!$G$27,IF(AND($AB50="Глянець",$AC50="Закрита пора",$AA50=2,$AD50="Матове",$AE50="Відкрита пора",OR($F50=4,$F50=6,$F50=8,$F50=10,$F50=16)),$AP50*Прайс!$G$28,0)))))))))))))</f>
        <v>0</v>
      </c>
      <c r="AI50" s="211">
        <f>IF(OR($C50=0,$C50=""),0,IF(AND($AB50="Матове",$AC50="Відкрита пора",$AA50=1,$AD50="Ламінат",$F50=19),$AP50*Прайс!$I$17,IF(AND($AB50="Матове",$AC50="Відкрита пора",$AA50=2,$AD50="Ламінат",$F50=19),$AP50*Прайс!$I$18,IF(AND($AB50="Матове",$AC50="Закрита пора",$AA50=1,$AD50="Ламінат",$F50=19),$AP50*Прайс!$I$19,IF(AND($AB50="Матове",$AC50="Закрита пора",$AA50=2,$AD50="Ламінат",$F50=19),$AP50*Прайс!$I$20,IF(AND($AB50="Глянець",$AC50="Закрита пора",$AA50=1,$AD50="Ламінат",$F50=19),$AP50*Прайс!$I$21,IF(AND($AB50="Глянець",$AC50="Закрита пора",$AA50=2,$AD50="Ламінат",$F50=19),$AP50*Прайс!$I$22,IF(AND($AB50="Матове",$AC50="Відкрита пора",$AA50=1,$AD50="Матове",$AE50="Відкрита пора",$F50=19),$AP50*Прайс!$I$23,IF(AND($AB50="Матове",$AC50="Відкрита пора",$AA50=2,$AD50="Матове",$AE50="Відкрита пора",$F50=19),$AP50*Прайс!$I$24,IF(AND($AB50="Матове",$AC50="Закрита пора",$AA50=1,$AD50="Матове",$AE50="Відкрита пора",$F50=19),$AP50*Прайс!$I$25,IF(AND($AB50="Матове",$AC50="Закрита пора",$AA50=2,$AD50="Матове",$AE50="Відкрита пора",$F50=19),$AP50*Прайс!$I$26,IF(AND($AB50="Глянець",$AC50="Закрита пора",$AA50=1,$AD50="Матове",$AE50="Відкрита пора",$F50=19),$AP50*Прайс!$I$27,IF(AND($AB50="Глянець",$AC50="Закрита пора",$AA50=2,$AD50="Матове",$AE50="Відкрита пора",$F50=19),$AP50*Прайс!$I$28,0)))))))))))))</f>
        <v>0</v>
      </c>
      <c r="AJ50" s="210" t="str">
        <f>IF(Бланк!$AD50="","",Бланк!$AD50*E50)</f>
        <v/>
      </c>
      <c r="AK50" s="213" t="str">
        <f>IF(OR($AJ50=0,$AJ50=""),"",$AJ50*Прайс!$J$47)</f>
        <v/>
      </c>
      <c r="AL50" s="217"/>
      <c r="AM50" s="222"/>
      <c r="AN50" s="222"/>
      <c r="AO50" s="218"/>
      <c r="AP50" s="107">
        <f t="shared" si="1"/>
        <v>0</v>
      </c>
      <c r="AQ50" s="207"/>
    </row>
    <row r="51" spans="2:43" s="221" customFormat="1" ht="20.25" x14ac:dyDescent="0.3">
      <c r="B51" s="219">
        <v>31</v>
      </c>
      <c r="C51" s="209">
        <f>Бланк!C51</f>
        <v>0</v>
      </c>
      <c r="D51" s="209">
        <f>Бланк!D51</f>
        <v>0</v>
      </c>
      <c r="E51" s="209">
        <f>Бланк!E51</f>
        <v>0</v>
      </c>
      <c r="F51" s="209">
        <f>Бланк!F51</f>
        <v>0</v>
      </c>
      <c r="G51" s="209"/>
      <c r="H51" s="212"/>
      <c r="I51" s="210" t="str">
        <f>IF(Бланк!$I51="","",Бланк!$I51)</f>
        <v/>
      </c>
      <c r="J51" s="211" t="str">
        <f>IF(OR($C51="",$C51=0),"",IF($I51="Пряма з чвертю",(Прайс!$J$42+Прайс!$J$44)*Просчёт!$E51,IF($I51="Пряма без чверті",Просчёт!$E51*Прайс!$J$42,"")))</f>
        <v/>
      </c>
      <c r="K51" s="210" t="str">
        <f>IF(Бланк!$K51="","",Бланк!$K51)</f>
        <v/>
      </c>
      <c r="L51" s="212" t="str">
        <f>IF(Бланк!$J51="","",Бланк!$J51/1000)</f>
        <v/>
      </c>
      <c r="M51" s="213" t="str">
        <f t="shared" si="0"/>
        <v/>
      </c>
      <c r="N51" s="213" t="str">
        <f>IF($K51="","",IF(OR($K51="J № 1",$K51="J № 2",$K51="J № 2L",$K51="J № 2R",$K51="AJ № 2",$K51="AJ № 2L",$K51="AJ № 2R",$K51="U",$K51="V"),$L51*$E51*Прайс!$J$45,IF(OR($K51="AJ № 3R",$K51="AJ № 4R",$K51="AJ № 5R",$K51="AJ № 3L",$K51="AJ № 4L",$K51="AJ № 5L",$K51="AJ № 3",$K51="AJ № 4",$K51="AJ № 5",$K51="J № 3",$K51="J № 4",$K51="J № 5",$K51="J № 6",$K51="J № 7",$K51="L",$K51="AL"),Прайс!$J$45*$E51,IF(OR($K51="J № 3L",$K51="J № 3R",$K51="J № 4L",$K51="J № 4R",$K51="J № 5L",$K51="J № 5R"),$L51/2*Прайс!$J$45*$E51,IF($K51="45 град.",$L51*Прайс!$J$50*$E51,0)))))</f>
        <v/>
      </c>
      <c r="O51" s="210" t="str">
        <f>IF(Бланк!$L51="","",Бланк!$L51)</f>
        <v/>
      </c>
      <c r="P51" s="210" t="str">
        <f>IF(Бланк!$M51="","",Бланк!$M51)</f>
        <v/>
      </c>
      <c r="Q51" s="214"/>
      <c r="R51" s="215"/>
      <c r="S51" s="210" t="str">
        <f>IF(Бланк!$P51="","",Бланк!$P51)</f>
        <v/>
      </c>
      <c r="T51" s="209" t="str">
        <f>IF($S51="","",VLOOKUP($S51,Лист1!$S$5:$T$32,2,FALSE))</f>
        <v/>
      </c>
      <c r="U51" s="215"/>
      <c r="V51" s="212"/>
      <c r="W51" s="212"/>
      <c r="X51" s="212"/>
      <c r="Y51" s="212"/>
      <c r="Z51" s="209"/>
      <c r="AA51" s="209" t="e">
        <f>VLOOKUP($S51,Прайс!$C$62:$E$90,3,FALSE)</f>
        <v>#N/A</v>
      </c>
      <c r="AB51" s="210" t="str">
        <f>IF(Бланк!$X51="","",Бланк!$X51)</f>
        <v/>
      </c>
      <c r="AC51" s="210" t="str">
        <f>IF(Бланк!$Y51="","",Бланк!$Y51)</f>
        <v/>
      </c>
      <c r="AD51" s="210" t="str">
        <f>IF(Бланк!$Z51="","",Бланк!$Z51)</f>
        <v/>
      </c>
      <c r="AE51" s="210" t="str">
        <f>IF(Бланк!$AA51="","",Бланк!$AA51)</f>
        <v/>
      </c>
      <c r="AF51" s="212"/>
      <c r="AG51" s="216"/>
      <c r="AH51" s="211">
        <f>IF(OR($C51=0,$C51=""),0,IF(AND($AB51="Матове",$AC51="Відкрита пора",$AA51=1,$AD51="Ламінат",OR($F51=4,$F51=6,$F51=8,$F51=10,$F51=16)),$AP51*Прайс!$G$17,IF(AND($AB51="Матове",$AC51="Відкрита пора",$AA51=2,$AD51="Ламінат",OR($F51=4,$F51=6,$F51=8,$F51=10,$F51=16)),$AP51*Прайс!$G$18,IF(AND($AB51="Матове",$AC51="Закрита пора",$AA51=1,$AD51="Ламінат",OR($F51=4,$F51=6,$F51=8,$F51=10,$F51=16)),$AP51*Прайс!$G$19,IF(AND($AB51="Матове",$AC51="Закрита пора",$AA51=2,$AD51="Ламінат",OR($F51=4,$F51=6,$F51=8,$F51=10,$F51=16)),$AP51*Прайс!$G$20,IF(AND($AB51="Глянець",$AC51="Закрита пора",$AA51=1,$AD51="Ламінат",OR($F51=4,$F51=6,$F51=8,$F51=10,$F51=16)),$AP51*Прайс!$G$21,IF(AND($AB51="Глянець",$AC51="Закрита пора",$AA51=2,$AD51="Ламінат",OR($F51=4,$F51=6,$F51=8,$F51=10,$F51=16)),$AP51*Прайс!$G$22,IF(AND($AB51="Матове",$AC51="Відкрита пора",$AA51=1,$AD51="Матове",$AE51="Відкрита пора",OR($F51=4,$F51=6,$F51=8,$F51=10,$F51=16)),$AP51*Прайс!$G$23,IF(AND($AB51="Матове",$AC51="Відкрита пора",$AA51=2,$AD51="Матове",$AE51="Відкрита пора",OR($F51=4,$F51=6,$F51=8,$F51=10,$F51=16)),$AP51*Прайс!$G$24,IF(AND($AB51="Матове",$AC51="Закрита пора",$AA51=1,$AD51="Матове",$AE51="Відкрита пора",OR($F51=4,$F51=6,$F51=8,$F51=10,$F51=16)),$AP51*Прайс!$G$25,IF(AND($AB51="Матове",$AC51="Закрита пора",$AA51=2,$AD51="Матове",$AE51="Відкрита пора",OR($F51=4,$F51=6,$F51=8,$F51=10,$F51=16)),$AP51*Прайс!$G$26,IF(AND($AB51="Глянець",$AC51="Закрита пора",$AA51=1,$AD51="Матове",$AE51="Відкрита пора",OR($F51=4,$F51=6,$F51=8,$F51=10,$F51=16)),$AP51*Прайс!$G$27,IF(AND($AB51="Глянець",$AC51="Закрита пора",$AA51=2,$AD51="Матове",$AE51="Відкрита пора",OR($F51=4,$F51=6,$F51=8,$F51=10,$F51=16)),$AP51*Прайс!$G$28,0)))))))))))))</f>
        <v>0</v>
      </c>
      <c r="AI51" s="211">
        <f>IF(OR($C51=0,$C51=""),0,IF(AND($AB51="Матове",$AC51="Відкрита пора",$AA51=1,$AD51="Ламінат",$F51=19),$AP51*Прайс!$I$17,IF(AND($AB51="Матове",$AC51="Відкрита пора",$AA51=2,$AD51="Ламінат",$F51=19),$AP51*Прайс!$I$18,IF(AND($AB51="Матове",$AC51="Закрита пора",$AA51=1,$AD51="Ламінат",$F51=19),$AP51*Прайс!$I$19,IF(AND($AB51="Матове",$AC51="Закрита пора",$AA51=2,$AD51="Ламінат",$F51=19),$AP51*Прайс!$I$20,IF(AND($AB51="Глянець",$AC51="Закрита пора",$AA51=1,$AD51="Ламінат",$F51=19),$AP51*Прайс!$I$21,IF(AND($AB51="Глянець",$AC51="Закрита пора",$AA51=2,$AD51="Ламінат",$F51=19),$AP51*Прайс!$I$22,IF(AND($AB51="Матове",$AC51="Відкрита пора",$AA51=1,$AD51="Матове",$AE51="Відкрита пора",$F51=19),$AP51*Прайс!$I$23,IF(AND($AB51="Матове",$AC51="Відкрита пора",$AA51=2,$AD51="Матове",$AE51="Відкрита пора",$F51=19),$AP51*Прайс!$I$24,IF(AND($AB51="Матове",$AC51="Закрита пора",$AA51=1,$AD51="Матове",$AE51="Відкрита пора",$F51=19),$AP51*Прайс!$I$25,IF(AND($AB51="Матове",$AC51="Закрита пора",$AA51=2,$AD51="Матове",$AE51="Відкрита пора",$F51=19),$AP51*Прайс!$I$26,IF(AND($AB51="Глянець",$AC51="Закрита пора",$AA51=1,$AD51="Матове",$AE51="Відкрита пора",$F51=19),$AP51*Прайс!$I$27,IF(AND($AB51="Глянець",$AC51="Закрита пора",$AA51=2,$AD51="Матове",$AE51="Відкрита пора",$F51=19),$AP51*Прайс!$I$28,0)))))))))))))</f>
        <v>0</v>
      </c>
      <c r="AJ51" s="210" t="str">
        <f>IF(Бланк!$AD51="","",Бланк!$AD51*E51)</f>
        <v/>
      </c>
      <c r="AK51" s="213" t="str">
        <f>IF(OR($AJ51=0,$AJ51=""),"",$AJ51*Прайс!$J$47)</f>
        <v/>
      </c>
      <c r="AL51" s="217"/>
      <c r="AM51" s="222"/>
      <c r="AN51" s="222"/>
      <c r="AO51" s="218"/>
      <c r="AP51" s="107">
        <f t="shared" si="1"/>
        <v>0</v>
      </c>
      <c r="AQ51" s="207"/>
    </row>
    <row r="52" spans="2:43" s="221" customFormat="1" ht="20.25" x14ac:dyDescent="0.3">
      <c r="B52" s="219">
        <v>32</v>
      </c>
      <c r="C52" s="209">
        <f>Бланк!C52</f>
        <v>0</v>
      </c>
      <c r="D52" s="209">
        <f>Бланк!D52</f>
        <v>0</v>
      </c>
      <c r="E52" s="209">
        <f>Бланк!E52</f>
        <v>0</v>
      </c>
      <c r="F52" s="209">
        <f>Бланк!F52</f>
        <v>0</v>
      </c>
      <c r="G52" s="209"/>
      <c r="H52" s="212"/>
      <c r="I52" s="210" t="str">
        <f>IF(Бланк!$I52="","",Бланк!$I52)</f>
        <v/>
      </c>
      <c r="J52" s="211" t="str">
        <f>IF(OR($C52="",$C52=0),"",IF($I52="Пряма з чвертю",(Прайс!$J$42+Прайс!$J$44)*Просчёт!$E52,IF($I52="Пряма без чверті",Просчёт!$E52*Прайс!$J$42,"")))</f>
        <v/>
      </c>
      <c r="K52" s="210" t="str">
        <f>IF(Бланк!$K52="","",Бланк!$K52)</f>
        <v/>
      </c>
      <c r="L52" s="212" t="str">
        <f>IF(Бланк!$J52="","",Бланк!$J52/1000)</f>
        <v/>
      </c>
      <c r="M52" s="213" t="str">
        <f t="shared" si="0"/>
        <v/>
      </c>
      <c r="N52" s="213" t="str">
        <f>IF($K52="","",IF(OR($K52="J № 1",$K52="J № 2",$K52="J № 2L",$K52="J № 2R",$K52="AJ № 2",$K52="AJ № 2L",$K52="AJ № 2R",$K52="U",$K52="V"),$L52*$E52*Прайс!$J$45,IF(OR($K52="AJ № 3R",$K52="AJ № 4R",$K52="AJ № 5R",$K52="AJ № 3L",$K52="AJ № 4L",$K52="AJ № 5L",$K52="AJ № 3",$K52="AJ № 4",$K52="AJ № 5",$K52="J № 3",$K52="J № 4",$K52="J № 5",$K52="J № 6",$K52="J № 7",$K52="L",$K52="AL"),Прайс!$J$45*$E52,IF(OR($K52="J № 3L",$K52="J № 3R",$K52="J № 4L",$K52="J № 4R",$K52="J № 5L",$K52="J № 5R"),$L52/2*Прайс!$J$45*$E52,IF($K52="45 град.",$L52*Прайс!$J$50*$E52,0)))))</f>
        <v/>
      </c>
      <c r="O52" s="210" t="str">
        <f>IF(Бланк!$L52="","",Бланк!$L52)</f>
        <v/>
      </c>
      <c r="P52" s="210" t="str">
        <f>IF(Бланк!$M52="","",Бланк!$M52)</f>
        <v/>
      </c>
      <c r="Q52" s="214"/>
      <c r="R52" s="215"/>
      <c r="S52" s="210" t="str">
        <f>IF(Бланк!$P52="","",Бланк!$P52)</f>
        <v/>
      </c>
      <c r="T52" s="209" t="str">
        <f>IF($S52="","",VLOOKUP($S52,Лист1!$S$5:$T$32,2,FALSE))</f>
        <v/>
      </c>
      <c r="U52" s="215"/>
      <c r="V52" s="212"/>
      <c r="W52" s="212"/>
      <c r="X52" s="212"/>
      <c r="Y52" s="212"/>
      <c r="Z52" s="209"/>
      <c r="AA52" s="209" t="e">
        <f>VLOOKUP($S52,Прайс!$C$62:$E$90,3,FALSE)</f>
        <v>#N/A</v>
      </c>
      <c r="AB52" s="210" t="str">
        <f>IF(Бланк!$X52="","",Бланк!$X52)</f>
        <v/>
      </c>
      <c r="AC52" s="210" t="str">
        <f>IF(Бланк!$Y52="","",Бланк!$Y52)</f>
        <v/>
      </c>
      <c r="AD52" s="210" t="str">
        <f>IF(Бланк!$Z52="","",Бланк!$Z52)</f>
        <v/>
      </c>
      <c r="AE52" s="210" t="str">
        <f>IF(Бланк!$AA52="","",Бланк!$AA52)</f>
        <v/>
      </c>
      <c r="AF52" s="212"/>
      <c r="AG52" s="216"/>
      <c r="AH52" s="211">
        <f>IF(OR($C52=0,$C52=""),0,IF(AND($AB52="Матове",$AC52="Відкрита пора",$AA52=1,$AD52="Ламінат",OR($F52=4,$F52=6,$F52=8,$F52=10,$F52=16)),$AP52*Прайс!$G$17,IF(AND($AB52="Матове",$AC52="Відкрита пора",$AA52=2,$AD52="Ламінат",OR($F52=4,$F52=6,$F52=8,$F52=10,$F52=16)),$AP52*Прайс!$G$18,IF(AND($AB52="Матове",$AC52="Закрита пора",$AA52=1,$AD52="Ламінат",OR($F52=4,$F52=6,$F52=8,$F52=10,$F52=16)),$AP52*Прайс!$G$19,IF(AND($AB52="Матове",$AC52="Закрита пора",$AA52=2,$AD52="Ламінат",OR($F52=4,$F52=6,$F52=8,$F52=10,$F52=16)),$AP52*Прайс!$G$20,IF(AND($AB52="Глянець",$AC52="Закрита пора",$AA52=1,$AD52="Ламінат",OR($F52=4,$F52=6,$F52=8,$F52=10,$F52=16)),$AP52*Прайс!$G$21,IF(AND($AB52="Глянець",$AC52="Закрита пора",$AA52=2,$AD52="Ламінат",OR($F52=4,$F52=6,$F52=8,$F52=10,$F52=16)),$AP52*Прайс!$G$22,IF(AND($AB52="Матове",$AC52="Відкрита пора",$AA52=1,$AD52="Матове",$AE52="Відкрита пора",OR($F52=4,$F52=6,$F52=8,$F52=10,$F52=16)),$AP52*Прайс!$G$23,IF(AND($AB52="Матове",$AC52="Відкрита пора",$AA52=2,$AD52="Матове",$AE52="Відкрита пора",OR($F52=4,$F52=6,$F52=8,$F52=10,$F52=16)),$AP52*Прайс!$G$24,IF(AND($AB52="Матове",$AC52="Закрита пора",$AA52=1,$AD52="Матове",$AE52="Відкрита пора",OR($F52=4,$F52=6,$F52=8,$F52=10,$F52=16)),$AP52*Прайс!$G$25,IF(AND($AB52="Матове",$AC52="Закрита пора",$AA52=2,$AD52="Матове",$AE52="Відкрита пора",OR($F52=4,$F52=6,$F52=8,$F52=10,$F52=16)),$AP52*Прайс!$G$26,IF(AND($AB52="Глянець",$AC52="Закрита пора",$AA52=1,$AD52="Матове",$AE52="Відкрита пора",OR($F52=4,$F52=6,$F52=8,$F52=10,$F52=16)),$AP52*Прайс!$G$27,IF(AND($AB52="Глянець",$AC52="Закрита пора",$AA52=2,$AD52="Матове",$AE52="Відкрита пора",OR($F52=4,$F52=6,$F52=8,$F52=10,$F52=16)),$AP52*Прайс!$G$28,0)))))))))))))</f>
        <v>0</v>
      </c>
      <c r="AI52" s="211">
        <f>IF(OR($C52=0,$C52=""),0,IF(AND($AB52="Матове",$AC52="Відкрита пора",$AA52=1,$AD52="Ламінат",$F52=19),$AP52*Прайс!$I$17,IF(AND($AB52="Матове",$AC52="Відкрита пора",$AA52=2,$AD52="Ламінат",$F52=19),$AP52*Прайс!$I$18,IF(AND($AB52="Матове",$AC52="Закрита пора",$AA52=1,$AD52="Ламінат",$F52=19),$AP52*Прайс!$I$19,IF(AND($AB52="Матове",$AC52="Закрита пора",$AA52=2,$AD52="Ламінат",$F52=19),$AP52*Прайс!$I$20,IF(AND($AB52="Глянець",$AC52="Закрита пора",$AA52=1,$AD52="Ламінат",$F52=19),$AP52*Прайс!$I$21,IF(AND($AB52="Глянець",$AC52="Закрита пора",$AA52=2,$AD52="Ламінат",$F52=19),$AP52*Прайс!$I$22,IF(AND($AB52="Матове",$AC52="Відкрита пора",$AA52=1,$AD52="Матове",$AE52="Відкрита пора",$F52=19),$AP52*Прайс!$I$23,IF(AND($AB52="Матове",$AC52="Відкрита пора",$AA52=2,$AD52="Матове",$AE52="Відкрита пора",$F52=19),$AP52*Прайс!$I$24,IF(AND($AB52="Матове",$AC52="Закрита пора",$AA52=1,$AD52="Матове",$AE52="Відкрита пора",$F52=19),$AP52*Прайс!$I$25,IF(AND($AB52="Матове",$AC52="Закрита пора",$AA52=2,$AD52="Матове",$AE52="Відкрита пора",$F52=19),$AP52*Прайс!$I$26,IF(AND($AB52="Глянець",$AC52="Закрита пора",$AA52=1,$AD52="Матове",$AE52="Відкрита пора",$F52=19),$AP52*Прайс!$I$27,IF(AND($AB52="Глянець",$AC52="Закрита пора",$AA52=2,$AD52="Матове",$AE52="Відкрита пора",$F52=19),$AP52*Прайс!$I$28,0)))))))))))))</f>
        <v>0</v>
      </c>
      <c r="AJ52" s="210" t="str">
        <f>IF(Бланк!$AD52="","",Бланк!$AD52*E52)</f>
        <v/>
      </c>
      <c r="AK52" s="213" t="str">
        <f>IF(OR($AJ52=0,$AJ52=""),"",$AJ52*Прайс!$J$47)</f>
        <v/>
      </c>
      <c r="AL52" s="217"/>
      <c r="AM52" s="222"/>
      <c r="AN52" s="222"/>
      <c r="AO52" s="218"/>
      <c r="AP52" s="107">
        <f t="shared" si="1"/>
        <v>0</v>
      </c>
      <c r="AQ52" s="207"/>
    </row>
    <row r="53" spans="2:43" s="221" customFormat="1" ht="20.25" x14ac:dyDescent="0.3">
      <c r="B53" s="219">
        <v>33</v>
      </c>
      <c r="C53" s="209">
        <f>Бланк!C53</f>
        <v>0</v>
      </c>
      <c r="D53" s="209">
        <f>Бланк!D53</f>
        <v>0</v>
      </c>
      <c r="E53" s="209">
        <f>Бланк!E53</f>
        <v>0</v>
      </c>
      <c r="F53" s="209">
        <f>Бланк!F53</f>
        <v>0</v>
      </c>
      <c r="G53" s="209"/>
      <c r="H53" s="212"/>
      <c r="I53" s="210" t="str">
        <f>IF(Бланк!$I53="","",Бланк!$I53)</f>
        <v/>
      </c>
      <c r="J53" s="211" t="str">
        <f>IF(OR($C53="",$C53=0),"",IF($I53="Пряма з чвертю",(Прайс!$J$42+Прайс!$J$44)*Просчёт!$E53,IF($I53="Пряма без чверті",Просчёт!$E53*Прайс!$J$42,"")))</f>
        <v/>
      </c>
      <c r="K53" s="210" t="str">
        <f>IF(Бланк!$K53="","",Бланк!$K53)</f>
        <v/>
      </c>
      <c r="L53" s="212" t="str">
        <f>IF(Бланк!$J53="","",Бланк!$J53/1000)</f>
        <v/>
      </c>
      <c r="M53" s="213" t="str">
        <f t="shared" si="0"/>
        <v/>
      </c>
      <c r="N53" s="213" t="str">
        <f>IF($K53="","",IF(OR($K53="J № 1",$K53="J № 2",$K53="J № 2L",$K53="J № 2R",$K53="AJ № 2",$K53="AJ № 2L",$K53="AJ № 2R",$K53="U",$K53="V"),$L53*$E53*Прайс!$J$45,IF(OR($K53="AJ № 3R",$K53="AJ № 4R",$K53="AJ № 5R",$K53="AJ № 3L",$K53="AJ № 4L",$K53="AJ № 5L",$K53="AJ № 3",$K53="AJ № 4",$K53="AJ № 5",$K53="J № 3",$K53="J № 4",$K53="J № 5",$K53="J № 6",$K53="J № 7",$K53="L",$K53="AL"),Прайс!$J$45*$E53,IF(OR($K53="J № 3L",$K53="J № 3R",$K53="J № 4L",$K53="J № 4R",$K53="J № 5L",$K53="J № 5R"),$L53/2*Прайс!$J$45*$E53,IF($K53="45 град.",$L53*Прайс!$J$50*$E53,0)))))</f>
        <v/>
      </c>
      <c r="O53" s="210" t="str">
        <f>IF(Бланк!$L53="","",Бланк!$L53)</f>
        <v/>
      </c>
      <c r="P53" s="210" t="str">
        <f>IF(Бланк!$M53="","",Бланк!$M53)</f>
        <v/>
      </c>
      <c r="Q53" s="214"/>
      <c r="R53" s="215"/>
      <c r="S53" s="210" t="str">
        <f>IF(Бланк!$P53="","",Бланк!$P53)</f>
        <v/>
      </c>
      <c r="T53" s="209" t="str">
        <f>IF($S53="","",VLOOKUP($S53,Лист1!$S$5:$T$32,2,FALSE))</f>
        <v/>
      </c>
      <c r="U53" s="215"/>
      <c r="V53" s="212"/>
      <c r="W53" s="212"/>
      <c r="X53" s="212"/>
      <c r="Y53" s="212"/>
      <c r="Z53" s="209"/>
      <c r="AA53" s="209" t="e">
        <f>VLOOKUP($S53,Прайс!$C$62:$E$90,3,FALSE)</f>
        <v>#N/A</v>
      </c>
      <c r="AB53" s="210" t="str">
        <f>IF(Бланк!$X53="","",Бланк!$X53)</f>
        <v/>
      </c>
      <c r="AC53" s="210" t="str">
        <f>IF(Бланк!$Y53="","",Бланк!$Y53)</f>
        <v/>
      </c>
      <c r="AD53" s="210" t="str">
        <f>IF(Бланк!$Z53="","",Бланк!$Z53)</f>
        <v/>
      </c>
      <c r="AE53" s="210" t="str">
        <f>IF(Бланк!$AA53="","",Бланк!$AA53)</f>
        <v/>
      </c>
      <c r="AF53" s="212"/>
      <c r="AG53" s="216"/>
      <c r="AH53" s="211">
        <f>IF(OR($C53=0,$C53=""),0,IF(AND($AB53="Матове",$AC53="Відкрита пора",$AA53=1,$AD53="Ламінат",OR($F53=4,$F53=6,$F53=8,$F53=10,$F53=16)),$AP53*Прайс!$G$17,IF(AND($AB53="Матове",$AC53="Відкрита пора",$AA53=2,$AD53="Ламінат",OR($F53=4,$F53=6,$F53=8,$F53=10,$F53=16)),$AP53*Прайс!$G$18,IF(AND($AB53="Матове",$AC53="Закрита пора",$AA53=1,$AD53="Ламінат",OR($F53=4,$F53=6,$F53=8,$F53=10,$F53=16)),$AP53*Прайс!$G$19,IF(AND($AB53="Матове",$AC53="Закрита пора",$AA53=2,$AD53="Ламінат",OR($F53=4,$F53=6,$F53=8,$F53=10,$F53=16)),$AP53*Прайс!$G$20,IF(AND($AB53="Глянець",$AC53="Закрита пора",$AA53=1,$AD53="Ламінат",OR($F53=4,$F53=6,$F53=8,$F53=10,$F53=16)),$AP53*Прайс!$G$21,IF(AND($AB53="Глянець",$AC53="Закрита пора",$AA53=2,$AD53="Ламінат",OR($F53=4,$F53=6,$F53=8,$F53=10,$F53=16)),$AP53*Прайс!$G$22,IF(AND($AB53="Матове",$AC53="Відкрита пора",$AA53=1,$AD53="Матове",$AE53="Відкрита пора",OR($F53=4,$F53=6,$F53=8,$F53=10,$F53=16)),$AP53*Прайс!$G$23,IF(AND($AB53="Матове",$AC53="Відкрита пора",$AA53=2,$AD53="Матове",$AE53="Відкрита пора",OR($F53=4,$F53=6,$F53=8,$F53=10,$F53=16)),$AP53*Прайс!$G$24,IF(AND($AB53="Матове",$AC53="Закрита пора",$AA53=1,$AD53="Матове",$AE53="Відкрита пора",OR($F53=4,$F53=6,$F53=8,$F53=10,$F53=16)),$AP53*Прайс!$G$25,IF(AND($AB53="Матове",$AC53="Закрита пора",$AA53=2,$AD53="Матове",$AE53="Відкрита пора",OR($F53=4,$F53=6,$F53=8,$F53=10,$F53=16)),$AP53*Прайс!$G$26,IF(AND($AB53="Глянець",$AC53="Закрита пора",$AA53=1,$AD53="Матове",$AE53="Відкрита пора",OR($F53=4,$F53=6,$F53=8,$F53=10,$F53=16)),$AP53*Прайс!$G$27,IF(AND($AB53="Глянець",$AC53="Закрита пора",$AA53=2,$AD53="Матове",$AE53="Відкрита пора",OR($F53=4,$F53=6,$F53=8,$F53=10,$F53=16)),$AP53*Прайс!$G$28,0)))))))))))))</f>
        <v>0</v>
      </c>
      <c r="AI53" s="211">
        <f>IF(OR($C53=0,$C53=""),0,IF(AND($AB53="Матове",$AC53="Відкрита пора",$AA53=1,$AD53="Ламінат",$F53=19),$AP53*Прайс!$I$17,IF(AND($AB53="Матове",$AC53="Відкрита пора",$AA53=2,$AD53="Ламінат",$F53=19),$AP53*Прайс!$I$18,IF(AND($AB53="Матове",$AC53="Закрита пора",$AA53=1,$AD53="Ламінат",$F53=19),$AP53*Прайс!$I$19,IF(AND($AB53="Матове",$AC53="Закрита пора",$AA53=2,$AD53="Ламінат",$F53=19),$AP53*Прайс!$I$20,IF(AND($AB53="Глянець",$AC53="Закрита пора",$AA53=1,$AD53="Ламінат",$F53=19),$AP53*Прайс!$I$21,IF(AND($AB53="Глянець",$AC53="Закрита пора",$AA53=2,$AD53="Ламінат",$F53=19),$AP53*Прайс!$I$22,IF(AND($AB53="Матове",$AC53="Відкрита пора",$AA53=1,$AD53="Матове",$AE53="Відкрита пора",$F53=19),$AP53*Прайс!$I$23,IF(AND($AB53="Матове",$AC53="Відкрита пора",$AA53=2,$AD53="Матове",$AE53="Відкрита пора",$F53=19),$AP53*Прайс!$I$24,IF(AND($AB53="Матове",$AC53="Закрита пора",$AA53=1,$AD53="Матове",$AE53="Відкрита пора",$F53=19),$AP53*Прайс!$I$25,IF(AND($AB53="Матове",$AC53="Закрита пора",$AA53=2,$AD53="Матове",$AE53="Відкрита пора",$F53=19),$AP53*Прайс!$I$26,IF(AND($AB53="Глянець",$AC53="Закрита пора",$AA53=1,$AD53="Матове",$AE53="Відкрита пора",$F53=19),$AP53*Прайс!$I$27,IF(AND($AB53="Глянець",$AC53="Закрита пора",$AA53=2,$AD53="Матове",$AE53="Відкрита пора",$F53=19),$AP53*Прайс!$I$28,0)))))))))))))</f>
        <v>0</v>
      </c>
      <c r="AJ53" s="210" t="str">
        <f>IF(Бланк!$AD53="","",Бланк!$AD53*E53)</f>
        <v/>
      </c>
      <c r="AK53" s="213" t="str">
        <f>IF(OR($AJ53=0,$AJ53=""),"",$AJ53*Прайс!$J$47)</f>
        <v/>
      </c>
      <c r="AL53" s="217"/>
      <c r="AM53" s="218"/>
      <c r="AN53" s="222"/>
      <c r="AO53" s="218"/>
      <c r="AP53" s="107">
        <f t="shared" si="1"/>
        <v>0</v>
      </c>
      <c r="AQ53" s="207"/>
    </row>
    <row r="54" spans="2:43" s="221" customFormat="1" ht="20.25" x14ac:dyDescent="0.3">
      <c r="B54" s="219">
        <v>34</v>
      </c>
      <c r="C54" s="209">
        <f>Бланк!C54</f>
        <v>0</v>
      </c>
      <c r="D54" s="209">
        <f>Бланк!D54</f>
        <v>0</v>
      </c>
      <c r="E54" s="209">
        <f>Бланк!E54</f>
        <v>0</v>
      </c>
      <c r="F54" s="209">
        <f>Бланк!F54</f>
        <v>0</v>
      </c>
      <c r="G54" s="209"/>
      <c r="H54" s="212"/>
      <c r="I54" s="210" t="str">
        <f>IF(Бланк!$I54="","",Бланк!$I54)</f>
        <v/>
      </c>
      <c r="J54" s="211" t="str">
        <f>IF(OR($C54="",$C54=0),"",IF($I54="Пряма з чвертю",(Прайс!$J$42+Прайс!$J$44)*Просчёт!$E54,IF($I54="Пряма без чверті",Просчёт!$E54*Прайс!$J$42,"")))</f>
        <v/>
      </c>
      <c r="K54" s="210" t="str">
        <f>IF(Бланк!$K54="","",Бланк!$K54)</f>
        <v/>
      </c>
      <c r="L54" s="212" t="str">
        <f>IF(Бланк!$J54="","",Бланк!$J54/1000)</f>
        <v/>
      </c>
      <c r="M54" s="213" t="str">
        <f t="shared" si="0"/>
        <v/>
      </c>
      <c r="N54" s="213" t="str">
        <f>IF($K54="","",IF(OR($K54="J № 1",$K54="J № 2",$K54="J № 2L",$K54="J № 2R",$K54="AJ № 2",$K54="AJ № 2L",$K54="AJ № 2R",$K54="U",$K54="V"),$L54*$E54*Прайс!$J$45,IF(OR($K54="AJ № 3R",$K54="AJ № 4R",$K54="AJ № 5R",$K54="AJ № 3L",$K54="AJ № 4L",$K54="AJ № 5L",$K54="AJ № 3",$K54="AJ № 4",$K54="AJ № 5",$K54="J № 3",$K54="J № 4",$K54="J № 5",$K54="J № 6",$K54="J № 7",$K54="L",$K54="AL"),Прайс!$J$45*$E54,IF(OR($K54="J № 3L",$K54="J № 3R",$K54="J № 4L",$K54="J № 4R",$K54="J № 5L",$K54="J № 5R"),$L54/2*Прайс!$J$45*$E54,IF($K54="45 град.",$L54*Прайс!$J$50*$E54,0)))))</f>
        <v/>
      </c>
      <c r="O54" s="210" t="str">
        <f>IF(Бланк!$L54="","",Бланк!$L54)</f>
        <v/>
      </c>
      <c r="P54" s="210" t="str">
        <f>IF(Бланк!$M54="","",Бланк!$M54)</f>
        <v/>
      </c>
      <c r="Q54" s="214"/>
      <c r="R54" s="215"/>
      <c r="S54" s="210" t="str">
        <f>IF(Бланк!$P54="","",Бланк!$P54)</f>
        <v/>
      </c>
      <c r="T54" s="209" t="str">
        <f>IF($S54="","",VLOOKUP($S54,Лист1!$S$5:$T$32,2,FALSE))</f>
        <v/>
      </c>
      <c r="U54" s="215"/>
      <c r="V54" s="212"/>
      <c r="W54" s="212"/>
      <c r="X54" s="212"/>
      <c r="Y54" s="212"/>
      <c r="Z54" s="209"/>
      <c r="AA54" s="209" t="e">
        <f>VLOOKUP($S54,Прайс!$C$62:$E$90,3,FALSE)</f>
        <v>#N/A</v>
      </c>
      <c r="AB54" s="210" t="str">
        <f>IF(Бланк!$X54="","",Бланк!$X54)</f>
        <v/>
      </c>
      <c r="AC54" s="210" t="str">
        <f>IF(Бланк!$Y54="","",Бланк!$Y54)</f>
        <v/>
      </c>
      <c r="AD54" s="210" t="str">
        <f>IF(Бланк!$Z54="","",Бланк!$Z54)</f>
        <v/>
      </c>
      <c r="AE54" s="210" t="str">
        <f>IF(Бланк!$AA54="","",Бланк!$AA54)</f>
        <v/>
      </c>
      <c r="AF54" s="212"/>
      <c r="AG54" s="216"/>
      <c r="AH54" s="211">
        <f>IF(OR($C54=0,$C54=""),0,IF(AND($AB54="Матове",$AC54="Відкрита пора",$AA54=1,$AD54="Ламінат",OR($F54=4,$F54=6,$F54=8,$F54=10,$F54=16)),$AP54*Прайс!$G$17,IF(AND($AB54="Матове",$AC54="Відкрита пора",$AA54=2,$AD54="Ламінат",OR($F54=4,$F54=6,$F54=8,$F54=10,$F54=16)),$AP54*Прайс!$G$18,IF(AND($AB54="Матове",$AC54="Закрита пора",$AA54=1,$AD54="Ламінат",OR($F54=4,$F54=6,$F54=8,$F54=10,$F54=16)),$AP54*Прайс!$G$19,IF(AND($AB54="Матове",$AC54="Закрита пора",$AA54=2,$AD54="Ламінат",OR($F54=4,$F54=6,$F54=8,$F54=10,$F54=16)),$AP54*Прайс!$G$20,IF(AND($AB54="Глянець",$AC54="Закрита пора",$AA54=1,$AD54="Ламінат",OR($F54=4,$F54=6,$F54=8,$F54=10,$F54=16)),$AP54*Прайс!$G$21,IF(AND($AB54="Глянець",$AC54="Закрита пора",$AA54=2,$AD54="Ламінат",OR($F54=4,$F54=6,$F54=8,$F54=10,$F54=16)),$AP54*Прайс!$G$22,IF(AND($AB54="Матове",$AC54="Відкрита пора",$AA54=1,$AD54="Матове",$AE54="Відкрита пора",OR($F54=4,$F54=6,$F54=8,$F54=10,$F54=16)),$AP54*Прайс!$G$23,IF(AND($AB54="Матове",$AC54="Відкрита пора",$AA54=2,$AD54="Матове",$AE54="Відкрита пора",OR($F54=4,$F54=6,$F54=8,$F54=10,$F54=16)),$AP54*Прайс!$G$24,IF(AND($AB54="Матове",$AC54="Закрита пора",$AA54=1,$AD54="Матове",$AE54="Відкрита пора",OR($F54=4,$F54=6,$F54=8,$F54=10,$F54=16)),$AP54*Прайс!$G$25,IF(AND($AB54="Матове",$AC54="Закрита пора",$AA54=2,$AD54="Матове",$AE54="Відкрита пора",OR($F54=4,$F54=6,$F54=8,$F54=10,$F54=16)),$AP54*Прайс!$G$26,IF(AND($AB54="Глянець",$AC54="Закрита пора",$AA54=1,$AD54="Матове",$AE54="Відкрита пора",OR($F54=4,$F54=6,$F54=8,$F54=10,$F54=16)),$AP54*Прайс!$G$27,IF(AND($AB54="Глянець",$AC54="Закрита пора",$AA54=2,$AD54="Матове",$AE54="Відкрита пора",OR($F54=4,$F54=6,$F54=8,$F54=10,$F54=16)),$AP54*Прайс!$G$28,0)))))))))))))</f>
        <v>0</v>
      </c>
      <c r="AI54" s="211">
        <f>IF(OR($C54=0,$C54=""),0,IF(AND($AB54="Матове",$AC54="Відкрита пора",$AA54=1,$AD54="Ламінат",$F54=19),$AP54*Прайс!$I$17,IF(AND($AB54="Матове",$AC54="Відкрита пора",$AA54=2,$AD54="Ламінат",$F54=19),$AP54*Прайс!$I$18,IF(AND($AB54="Матове",$AC54="Закрита пора",$AA54=1,$AD54="Ламінат",$F54=19),$AP54*Прайс!$I$19,IF(AND($AB54="Матове",$AC54="Закрита пора",$AA54=2,$AD54="Ламінат",$F54=19),$AP54*Прайс!$I$20,IF(AND($AB54="Глянець",$AC54="Закрита пора",$AA54=1,$AD54="Ламінат",$F54=19),$AP54*Прайс!$I$21,IF(AND($AB54="Глянець",$AC54="Закрита пора",$AA54=2,$AD54="Ламінат",$F54=19),$AP54*Прайс!$I$22,IF(AND($AB54="Матове",$AC54="Відкрита пора",$AA54=1,$AD54="Матове",$AE54="Відкрита пора",$F54=19),$AP54*Прайс!$I$23,IF(AND($AB54="Матове",$AC54="Відкрита пора",$AA54=2,$AD54="Матове",$AE54="Відкрита пора",$F54=19),$AP54*Прайс!$I$24,IF(AND($AB54="Матове",$AC54="Закрита пора",$AA54=1,$AD54="Матове",$AE54="Відкрита пора",$F54=19),$AP54*Прайс!$I$25,IF(AND($AB54="Матове",$AC54="Закрита пора",$AA54=2,$AD54="Матове",$AE54="Відкрита пора",$F54=19),$AP54*Прайс!$I$26,IF(AND($AB54="Глянець",$AC54="Закрита пора",$AA54=1,$AD54="Матове",$AE54="Відкрита пора",$F54=19),$AP54*Прайс!$I$27,IF(AND($AB54="Глянець",$AC54="Закрита пора",$AA54=2,$AD54="Матове",$AE54="Відкрита пора",$F54=19),$AP54*Прайс!$I$28,0)))))))))))))</f>
        <v>0</v>
      </c>
      <c r="AJ54" s="210" t="str">
        <f>IF(Бланк!$AD54="","",Бланк!$AD54*E54)</f>
        <v/>
      </c>
      <c r="AK54" s="213" t="str">
        <f>IF(OR($AJ54=0,$AJ54=""),"",$AJ54*Прайс!$J$47)</f>
        <v/>
      </c>
      <c r="AL54" s="217"/>
      <c r="AM54" s="222"/>
      <c r="AN54" s="222"/>
      <c r="AO54" s="218"/>
      <c r="AP54" s="107">
        <f t="shared" si="1"/>
        <v>0</v>
      </c>
      <c r="AQ54" s="207"/>
    </row>
    <row r="55" spans="2:43" s="221" customFormat="1" ht="20.25" x14ac:dyDescent="0.3">
      <c r="B55" s="219">
        <v>35</v>
      </c>
      <c r="C55" s="209">
        <f>Бланк!C55</f>
        <v>0</v>
      </c>
      <c r="D55" s="209">
        <f>Бланк!D55</f>
        <v>0</v>
      </c>
      <c r="E55" s="209">
        <f>Бланк!E55</f>
        <v>0</v>
      </c>
      <c r="F55" s="209">
        <f>Бланк!F55</f>
        <v>0</v>
      </c>
      <c r="G55" s="209"/>
      <c r="H55" s="212"/>
      <c r="I55" s="210" t="str">
        <f>IF(Бланк!$I55="","",Бланк!$I55)</f>
        <v/>
      </c>
      <c r="J55" s="211" t="str">
        <f>IF(OR($C55="",$C55=0),"",IF($I55="Пряма з чвертю",(Прайс!$J$42+Прайс!$J$44)*Просчёт!$E55,IF($I55="Пряма без чверті",Просчёт!$E55*Прайс!$J$42,"")))</f>
        <v/>
      </c>
      <c r="K55" s="210" t="str">
        <f>IF(Бланк!$K55="","",Бланк!$K55)</f>
        <v/>
      </c>
      <c r="L55" s="212" t="str">
        <f>IF(Бланк!$J55="","",Бланк!$J55/1000)</f>
        <v/>
      </c>
      <c r="M55" s="213" t="str">
        <f t="shared" si="0"/>
        <v/>
      </c>
      <c r="N55" s="213" t="str">
        <f>IF($K55="","",IF(OR($K55="J № 1",$K55="J № 2",$K55="J № 2L",$K55="J № 2R",$K55="AJ № 2",$K55="AJ № 2L",$K55="AJ № 2R",$K55="U",$K55="V"),$L55*$E55*Прайс!$J$45,IF(OR($K55="AJ № 3R",$K55="AJ № 4R",$K55="AJ № 5R",$K55="AJ № 3L",$K55="AJ № 4L",$K55="AJ № 5L",$K55="AJ № 3",$K55="AJ № 4",$K55="AJ № 5",$K55="J № 3",$K55="J № 4",$K55="J № 5",$K55="J № 6",$K55="J № 7",$K55="L",$K55="AL"),Прайс!$J$45*$E55,IF(OR($K55="J № 3L",$K55="J № 3R",$K55="J № 4L",$K55="J № 4R",$K55="J № 5L",$K55="J № 5R"),$L55/2*Прайс!$J$45*$E55,IF($K55="45 град.",$L55*Прайс!$J$50*$E55,0)))))</f>
        <v/>
      </c>
      <c r="O55" s="210" t="str">
        <f>IF(Бланк!$L55="","",Бланк!$L55)</f>
        <v/>
      </c>
      <c r="P55" s="210" t="str">
        <f>IF(Бланк!$M55="","",Бланк!$M55)</f>
        <v/>
      </c>
      <c r="Q55" s="214"/>
      <c r="R55" s="215"/>
      <c r="S55" s="210" t="str">
        <f>IF(Бланк!$P55="","",Бланк!$P55)</f>
        <v/>
      </c>
      <c r="T55" s="209" t="str">
        <f>IF($S55="","",VLOOKUP($S55,Лист1!$S$5:$T$32,2,FALSE))</f>
        <v/>
      </c>
      <c r="U55" s="215"/>
      <c r="V55" s="212"/>
      <c r="W55" s="212"/>
      <c r="X55" s="212"/>
      <c r="Y55" s="212"/>
      <c r="Z55" s="209"/>
      <c r="AA55" s="209" t="e">
        <f>VLOOKUP($S55,Прайс!$C$62:$E$90,3,FALSE)</f>
        <v>#N/A</v>
      </c>
      <c r="AB55" s="210" t="str">
        <f>IF(Бланк!$X55="","",Бланк!$X55)</f>
        <v/>
      </c>
      <c r="AC55" s="210" t="str">
        <f>IF(Бланк!$Y55="","",Бланк!$Y55)</f>
        <v/>
      </c>
      <c r="AD55" s="210" t="str">
        <f>IF(Бланк!$Z55="","",Бланк!$Z55)</f>
        <v/>
      </c>
      <c r="AE55" s="210" t="str">
        <f>IF(Бланк!$AA55="","",Бланк!$AA55)</f>
        <v/>
      </c>
      <c r="AF55" s="212"/>
      <c r="AG55" s="216"/>
      <c r="AH55" s="211">
        <f>IF(OR($C55=0,$C55=""),0,IF(AND($AB55="Матове",$AC55="Відкрита пора",$AA55=1,$AD55="Ламінат",OR($F55=4,$F55=6,$F55=8,$F55=10,$F55=16)),$AP55*Прайс!$G$17,IF(AND($AB55="Матове",$AC55="Відкрита пора",$AA55=2,$AD55="Ламінат",OR($F55=4,$F55=6,$F55=8,$F55=10,$F55=16)),$AP55*Прайс!$G$18,IF(AND($AB55="Матове",$AC55="Закрита пора",$AA55=1,$AD55="Ламінат",OR($F55=4,$F55=6,$F55=8,$F55=10,$F55=16)),$AP55*Прайс!$G$19,IF(AND($AB55="Матове",$AC55="Закрита пора",$AA55=2,$AD55="Ламінат",OR($F55=4,$F55=6,$F55=8,$F55=10,$F55=16)),$AP55*Прайс!$G$20,IF(AND($AB55="Глянець",$AC55="Закрита пора",$AA55=1,$AD55="Ламінат",OR($F55=4,$F55=6,$F55=8,$F55=10,$F55=16)),$AP55*Прайс!$G$21,IF(AND($AB55="Глянець",$AC55="Закрита пора",$AA55=2,$AD55="Ламінат",OR($F55=4,$F55=6,$F55=8,$F55=10,$F55=16)),$AP55*Прайс!$G$22,IF(AND($AB55="Матове",$AC55="Відкрита пора",$AA55=1,$AD55="Матове",$AE55="Відкрита пора",OR($F55=4,$F55=6,$F55=8,$F55=10,$F55=16)),$AP55*Прайс!$G$23,IF(AND($AB55="Матове",$AC55="Відкрита пора",$AA55=2,$AD55="Матове",$AE55="Відкрита пора",OR($F55=4,$F55=6,$F55=8,$F55=10,$F55=16)),$AP55*Прайс!$G$24,IF(AND($AB55="Матове",$AC55="Закрита пора",$AA55=1,$AD55="Матове",$AE55="Відкрита пора",OR($F55=4,$F55=6,$F55=8,$F55=10,$F55=16)),$AP55*Прайс!$G$25,IF(AND($AB55="Матове",$AC55="Закрита пора",$AA55=2,$AD55="Матове",$AE55="Відкрита пора",OR($F55=4,$F55=6,$F55=8,$F55=10,$F55=16)),$AP55*Прайс!$G$26,IF(AND($AB55="Глянець",$AC55="Закрита пора",$AA55=1,$AD55="Матове",$AE55="Відкрита пора",OR($F55=4,$F55=6,$F55=8,$F55=10,$F55=16)),$AP55*Прайс!$G$27,IF(AND($AB55="Глянець",$AC55="Закрита пора",$AA55=2,$AD55="Матове",$AE55="Відкрита пора",OR($F55=4,$F55=6,$F55=8,$F55=10,$F55=16)),$AP55*Прайс!$G$28,0)))))))))))))</f>
        <v>0</v>
      </c>
      <c r="AI55" s="211">
        <f>IF(OR($C55=0,$C55=""),0,IF(AND($AB55="Матове",$AC55="Відкрита пора",$AA55=1,$AD55="Ламінат",$F55=19),$AP55*Прайс!$I$17,IF(AND($AB55="Матове",$AC55="Відкрита пора",$AA55=2,$AD55="Ламінат",$F55=19),$AP55*Прайс!$I$18,IF(AND($AB55="Матове",$AC55="Закрита пора",$AA55=1,$AD55="Ламінат",$F55=19),$AP55*Прайс!$I$19,IF(AND($AB55="Матове",$AC55="Закрита пора",$AA55=2,$AD55="Ламінат",$F55=19),$AP55*Прайс!$I$20,IF(AND($AB55="Глянець",$AC55="Закрита пора",$AA55=1,$AD55="Ламінат",$F55=19),$AP55*Прайс!$I$21,IF(AND($AB55="Глянець",$AC55="Закрита пора",$AA55=2,$AD55="Ламінат",$F55=19),$AP55*Прайс!$I$22,IF(AND($AB55="Матове",$AC55="Відкрита пора",$AA55=1,$AD55="Матове",$AE55="Відкрита пора",$F55=19),$AP55*Прайс!$I$23,IF(AND($AB55="Матове",$AC55="Відкрита пора",$AA55=2,$AD55="Матове",$AE55="Відкрита пора",$F55=19),$AP55*Прайс!$I$24,IF(AND($AB55="Матове",$AC55="Закрита пора",$AA55=1,$AD55="Матове",$AE55="Відкрита пора",$F55=19),$AP55*Прайс!$I$25,IF(AND($AB55="Матове",$AC55="Закрита пора",$AA55=2,$AD55="Матове",$AE55="Відкрита пора",$F55=19),$AP55*Прайс!$I$26,IF(AND($AB55="Глянець",$AC55="Закрита пора",$AA55=1,$AD55="Матове",$AE55="Відкрита пора",$F55=19),$AP55*Прайс!$I$27,IF(AND($AB55="Глянець",$AC55="Закрита пора",$AA55=2,$AD55="Матове",$AE55="Відкрита пора",$F55=19),$AP55*Прайс!$I$28,0)))))))))))))</f>
        <v>0</v>
      </c>
      <c r="AJ55" s="210" t="str">
        <f>IF(Бланк!$AD55="","",Бланк!$AD55*E55)</f>
        <v/>
      </c>
      <c r="AK55" s="213" t="str">
        <f>IF(OR($AJ55=0,$AJ55=""),"",$AJ55*Прайс!$J$47)</f>
        <v/>
      </c>
      <c r="AL55" s="217"/>
      <c r="AM55" s="222"/>
      <c r="AN55" s="222"/>
      <c r="AO55" s="218"/>
      <c r="AP55" s="107">
        <f t="shared" si="1"/>
        <v>0</v>
      </c>
      <c r="AQ55" s="207"/>
    </row>
    <row r="56" spans="2:43" s="221" customFormat="1" ht="20.25" x14ac:dyDescent="0.3">
      <c r="B56" s="219">
        <v>36</v>
      </c>
      <c r="C56" s="209">
        <f>Бланк!C56</f>
        <v>0</v>
      </c>
      <c r="D56" s="209">
        <f>Бланк!D56</f>
        <v>0</v>
      </c>
      <c r="E56" s="209">
        <f>Бланк!E56</f>
        <v>0</v>
      </c>
      <c r="F56" s="209">
        <f>Бланк!F56</f>
        <v>0</v>
      </c>
      <c r="G56" s="209"/>
      <c r="H56" s="212"/>
      <c r="I56" s="210" t="str">
        <f>IF(Бланк!$I56="","",Бланк!$I56)</f>
        <v/>
      </c>
      <c r="J56" s="211" t="str">
        <f>IF(OR($C56="",$C56=0),"",IF($I56="Пряма з чвертю",(Прайс!$J$42+Прайс!$J$44)*Просчёт!$E56,IF($I56="Пряма без чверті",Просчёт!$E56*Прайс!$J$42,"")))</f>
        <v/>
      </c>
      <c r="K56" s="210" t="str">
        <f>IF(Бланк!$K56="","",Бланк!$K56)</f>
        <v/>
      </c>
      <c r="L56" s="212" t="str">
        <f>IF(Бланк!$J56="","",Бланк!$J56/1000)</f>
        <v/>
      </c>
      <c r="M56" s="213" t="str">
        <f t="shared" si="0"/>
        <v/>
      </c>
      <c r="N56" s="213" t="str">
        <f>IF($K56="","",IF(OR($K56="J № 1",$K56="J № 2",$K56="J № 2L",$K56="J № 2R",$K56="AJ № 2",$K56="AJ № 2L",$K56="AJ № 2R",$K56="U",$K56="V"),$L56*$E56*Прайс!$J$45,IF(OR($K56="AJ № 3R",$K56="AJ № 4R",$K56="AJ № 5R",$K56="AJ № 3L",$K56="AJ № 4L",$K56="AJ № 5L",$K56="AJ № 3",$K56="AJ № 4",$K56="AJ № 5",$K56="J № 3",$K56="J № 4",$K56="J № 5",$K56="J № 6",$K56="J № 7",$K56="L",$K56="AL"),Прайс!$J$45*$E56,IF(OR($K56="J № 3L",$K56="J № 3R",$K56="J № 4L",$K56="J № 4R",$K56="J № 5L",$K56="J № 5R"),$L56/2*Прайс!$J$45*$E56,IF($K56="45 град.",$L56*Прайс!$J$50*$E56,0)))))</f>
        <v/>
      </c>
      <c r="O56" s="210" t="str">
        <f>IF(Бланк!$L56="","",Бланк!$L56)</f>
        <v/>
      </c>
      <c r="P56" s="210" t="str">
        <f>IF(Бланк!$M56="","",Бланк!$M56)</f>
        <v/>
      </c>
      <c r="Q56" s="214"/>
      <c r="R56" s="215"/>
      <c r="S56" s="210" t="str">
        <f>IF(Бланк!$P56="","",Бланк!$P56)</f>
        <v/>
      </c>
      <c r="T56" s="209" t="str">
        <f>IF($S56="","",VLOOKUP($S56,Лист1!$S$5:$T$32,2,FALSE))</f>
        <v/>
      </c>
      <c r="U56" s="215"/>
      <c r="V56" s="212"/>
      <c r="W56" s="212"/>
      <c r="X56" s="212"/>
      <c r="Y56" s="212"/>
      <c r="Z56" s="209"/>
      <c r="AA56" s="209" t="e">
        <f>VLOOKUP($S56,Прайс!$C$62:$E$90,3,FALSE)</f>
        <v>#N/A</v>
      </c>
      <c r="AB56" s="210" t="str">
        <f>IF(Бланк!$X56="","",Бланк!$X56)</f>
        <v/>
      </c>
      <c r="AC56" s="210" t="str">
        <f>IF(Бланк!$Y56="","",Бланк!$Y56)</f>
        <v/>
      </c>
      <c r="AD56" s="210" t="str">
        <f>IF(Бланк!$Z56="","",Бланк!$Z56)</f>
        <v/>
      </c>
      <c r="AE56" s="210" t="str">
        <f>IF(Бланк!$AA56="","",Бланк!$AA56)</f>
        <v/>
      </c>
      <c r="AF56" s="212"/>
      <c r="AG56" s="216"/>
      <c r="AH56" s="211">
        <f>IF(OR($C56=0,$C56=""),0,IF(AND($AB56="Матове",$AC56="Відкрита пора",$AA56=1,$AD56="Ламінат",OR($F56=4,$F56=6,$F56=8,$F56=10,$F56=16)),$AP56*Прайс!$G$17,IF(AND($AB56="Матове",$AC56="Відкрита пора",$AA56=2,$AD56="Ламінат",OR($F56=4,$F56=6,$F56=8,$F56=10,$F56=16)),$AP56*Прайс!$G$18,IF(AND($AB56="Матове",$AC56="Закрита пора",$AA56=1,$AD56="Ламінат",OR($F56=4,$F56=6,$F56=8,$F56=10,$F56=16)),$AP56*Прайс!$G$19,IF(AND($AB56="Матове",$AC56="Закрита пора",$AA56=2,$AD56="Ламінат",OR($F56=4,$F56=6,$F56=8,$F56=10,$F56=16)),$AP56*Прайс!$G$20,IF(AND($AB56="Глянець",$AC56="Закрита пора",$AA56=1,$AD56="Ламінат",OR($F56=4,$F56=6,$F56=8,$F56=10,$F56=16)),$AP56*Прайс!$G$21,IF(AND($AB56="Глянець",$AC56="Закрита пора",$AA56=2,$AD56="Ламінат",OR($F56=4,$F56=6,$F56=8,$F56=10,$F56=16)),$AP56*Прайс!$G$22,IF(AND($AB56="Матове",$AC56="Відкрита пора",$AA56=1,$AD56="Матове",$AE56="Відкрита пора",OR($F56=4,$F56=6,$F56=8,$F56=10,$F56=16)),$AP56*Прайс!$G$23,IF(AND($AB56="Матове",$AC56="Відкрита пора",$AA56=2,$AD56="Матове",$AE56="Відкрита пора",OR($F56=4,$F56=6,$F56=8,$F56=10,$F56=16)),$AP56*Прайс!$G$24,IF(AND($AB56="Матове",$AC56="Закрита пора",$AA56=1,$AD56="Матове",$AE56="Відкрита пора",OR($F56=4,$F56=6,$F56=8,$F56=10,$F56=16)),$AP56*Прайс!$G$25,IF(AND($AB56="Матове",$AC56="Закрита пора",$AA56=2,$AD56="Матове",$AE56="Відкрита пора",OR($F56=4,$F56=6,$F56=8,$F56=10,$F56=16)),$AP56*Прайс!$G$26,IF(AND($AB56="Глянець",$AC56="Закрита пора",$AA56=1,$AD56="Матове",$AE56="Відкрита пора",OR($F56=4,$F56=6,$F56=8,$F56=10,$F56=16)),$AP56*Прайс!$G$27,IF(AND($AB56="Глянець",$AC56="Закрита пора",$AA56=2,$AD56="Матове",$AE56="Відкрита пора",OR($F56=4,$F56=6,$F56=8,$F56=10,$F56=16)),$AP56*Прайс!$G$28,0)))))))))))))</f>
        <v>0</v>
      </c>
      <c r="AI56" s="211">
        <f>IF(OR($C56=0,$C56=""),0,IF(AND($AB56="Матове",$AC56="Відкрита пора",$AA56=1,$AD56="Ламінат",$F56=19),$AP56*Прайс!$I$17,IF(AND($AB56="Матове",$AC56="Відкрита пора",$AA56=2,$AD56="Ламінат",$F56=19),$AP56*Прайс!$I$18,IF(AND($AB56="Матове",$AC56="Закрита пора",$AA56=1,$AD56="Ламінат",$F56=19),$AP56*Прайс!$I$19,IF(AND($AB56="Матове",$AC56="Закрита пора",$AA56=2,$AD56="Ламінат",$F56=19),$AP56*Прайс!$I$20,IF(AND($AB56="Глянець",$AC56="Закрита пора",$AA56=1,$AD56="Ламінат",$F56=19),$AP56*Прайс!$I$21,IF(AND($AB56="Глянець",$AC56="Закрита пора",$AA56=2,$AD56="Ламінат",$F56=19),$AP56*Прайс!$I$22,IF(AND($AB56="Матове",$AC56="Відкрита пора",$AA56=1,$AD56="Матове",$AE56="Відкрита пора",$F56=19),$AP56*Прайс!$I$23,IF(AND($AB56="Матове",$AC56="Відкрита пора",$AA56=2,$AD56="Матове",$AE56="Відкрита пора",$F56=19),$AP56*Прайс!$I$24,IF(AND($AB56="Матове",$AC56="Закрита пора",$AA56=1,$AD56="Матове",$AE56="Відкрита пора",$F56=19),$AP56*Прайс!$I$25,IF(AND($AB56="Матове",$AC56="Закрита пора",$AA56=2,$AD56="Матове",$AE56="Відкрита пора",$F56=19),$AP56*Прайс!$I$26,IF(AND($AB56="Глянець",$AC56="Закрита пора",$AA56=1,$AD56="Матове",$AE56="Відкрита пора",$F56=19),$AP56*Прайс!$I$27,IF(AND($AB56="Глянець",$AC56="Закрита пора",$AA56=2,$AD56="Матове",$AE56="Відкрита пора",$F56=19),$AP56*Прайс!$I$28,0)))))))))))))</f>
        <v>0</v>
      </c>
      <c r="AJ56" s="210" t="str">
        <f>IF(Бланк!$AD56="","",Бланк!$AD56*E56)</f>
        <v/>
      </c>
      <c r="AK56" s="213" t="str">
        <f>IF(OR($AJ56=0,$AJ56=""),"",$AJ56*Прайс!$J$47)</f>
        <v/>
      </c>
      <c r="AL56" s="217"/>
      <c r="AM56" s="222"/>
      <c r="AN56" s="222"/>
      <c r="AO56" s="218"/>
      <c r="AP56" s="107">
        <f t="shared" si="1"/>
        <v>0</v>
      </c>
      <c r="AQ56" s="207"/>
    </row>
    <row r="57" spans="2:43" s="221" customFormat="1" ht="20.25" x14ac:dyDescent="0.3">
      <c r="B57" s="219">
        <v>37</v>
      </c>
      <c r="C57" s="209">
        <f>Бланк!C57</f>
        <v>0</v>
      </c>
      <c r="D57" s="209">
        <f>Бланк!D57</f>
        <v>0</v>
      </c>
      <c r="E57" s="209">
        <f>Бланк!E57</f>
        <v>0</v>
      </c>
      <c r="F57" s="209">
        <f>Бланк!F57</f>
        <v>0</v>
      </c>
      <c r="G57" s="209"/>
      <c r="H57" s="212"/>
      <c r="I57" s="210" t="str">
        <f>IF(Бланк!$I57="","",Бланк!$I57)</f>
        <v/>
      </c>
      <c r="J57" s="211" t="str">
        <f>IF(OR($C57="",$C57=0),"",IF($I57="Пряма з чвертю",(Прайс!$J$42+Прайс!$J$44)*Просчёт!$E57,IF($I57="Пряма без чверті",Просчёт!$E57*Прайс!$J$42,"")))</f>
        <v/>
      </c>
      <c r="K57" s="210" t="str">
        <f>IF(Бланк!$K57="","",Бланк!$K57)</f>
        <v/>
      </c>
      <c r="L57" s="212" t="str">
        <f>IF(Бланк!$J57="","",Бланк!$J57/1000)</f>
        <v/>
      </c>
      <c r="M57" s="213" t="str">
        <f t="shared" si="0"/>
        <v/>
      </c>
      <c r="N57" s="213" t="str">
        <f>IF($K57="","",IF(OR($K57="J № 1",$K57="J № 2",$K57="J № 2L",$K57="J № 2R",$K57="AJ № 2",$K57="AJ № 2L",$K57="AJ № 2R",$K57="U",$K57="V"),$L57*$E57*Прайс!$J$45,IF(OR($K57="AJ № 3R",$K57="AJ № 4R",$K57="AJ № 5R",$K57="AJ № 3L",$K57="AJ № 4L",$K57="AJ № 5L",$K57="AJ № 3",$K57="AJ № 4",$K57="AJ № 5",$K57="J № 3",$K57="J № 4",$K57="J № 5",$K57="J № 6",$K57="J № 7",$K57="L",$K57="AL"),Прайс!$J$45*$E57,IF(OR($K57="J № 3L",$K57="J № 3R",$K57="J № 4L",$K57="J № 4R",$K57="J № 5L",$K57="J № 5R"),$L57/2*Прайс!$J$45*$E57,IF($K57="45 град.",$L57*Прайс!$J$50*$E57,0)))))</f>
        <v/>
      </c>
      <c r="O57" s="210" t="str">
        <f>IF(Бланк!$L57="","",Бланк!$L57)</f>
        <v/>
      </c>
      <c r="P57" s="210" t="str">
        <f>IF(Бланк!$M57="","",Бланк!$M57)</f>
        <v/>
      </c>
      <c r="Q57" s="214"/>
      <c r="R57" s="215"/>
      <c r="S57" s="210" t="str">
        <f>IF(Бланк!$P57="","",Бланк!$P57)</f>
        <v/>
      </c>
      <c r="T57" s="209" t="str">
        <f>IF($S57="","",VLOOKUP($S57,Лист1!$S$5:$T$32,2,FALSE))</f>
        <v/>
      </c>
      <c r="U57" s="215"/>
      <c r="V57" s="212"/>
      <c r="W57" s="212"/>
      <c r="X57" s="212"/>
      <c r="Y57" s="212"/>
      <c r="Z57" s="209"/>
      <c r="AA57" s="209" t="e">
        <f>VLOOKUP($S57,Прайс!$C$62:$E$90,3,FALSE)</f>
        <v>#N/A</v>
      </c>
      <c r="AB57" s="210" t="str">
        <f>IF(Бланк!$X57="","",Бланк!$X57)</f>
        <v/>
      </c>
      <c r="AC57" s="210" t="str">
        <f>IF(Бланк!$Y57="","",Бланк!$Y57)</f>
        <v/>
      </c>
      <c r="AD57" s="210" t="str">
        <f>IF(Бланк!$Z57="","",Бланк!$Z57)</f>
        <v/>
      </c>
      <c r="AE57" s="210" t="str">
        <f>IF(Бланк!$AA57="","",Бланк!$AA57)</f>
        <v/>
      </c>
      <c r="AF57" s="212"/>
      <c r="AG57" s="216"/>
      <c r="AH57" s="211">
        <f>IF(OR($C57=0,$C57=""),0,IF(AND($AB57="Матове",$AC57="Відкрита пора",$AA57=1,$AD57="Ламінат",OR($F57=4,$F57=6,$F57=8,$F57=10,$F57=16)),$AP57*Прайс!$G$17,IF(AND($AB57="Матове",$AC57="Відкрита пора",$AA57=2,$AD57="Ламінат",OR($F57=4,$F57=6,$F57=8,$F57=10,$F57=16)),$AP57*Прайс!$G$18,IF(AND($AB57="Матове",$AC57="Закрита пора",$AA57=1,$AD57="Ламінат",OR($F57=4,$F57=6,$F57=8,$F57=10,$F57=16)),$AP57*Прайс!$G$19,IF(AND($AB57="Матове",$AC57="Закрита пора",$AA57=2,$AD57="Ламінат",OR($F57=4,$F57=6,$F57=8,$F57=10,$F57=16)),$AP57*Прайс!$G$20,IF(AND($AB57="Глянець",$AC57="Закрита пора",$AA57=1,$AD57="Ламінат",OR($F57=4,$F57=6,$F57=8,$F57=10,$F57=16)),$AP57*Прайс!$G$21,IF(AND($AB57="Глянець",$AC57="Закрита пора",$AA57=2,$AD57="Ламінат",OR($F57=4,$F57=6,$F57=8,$F57=10,$F57=16)),$AP57*Прайс!$G$22,IF(AND($AB57="Матове",$AC57="Відкрита пора",$AA57=1,$AD57="Матове",$AE57="Відкрита пора",OR($F57=4,$F57=6,$F57=8,$F57=10,$F57=16)),$AP57*Прайс!$G$23,IF(AND($AB57="Матове",$AC57="Відкрита пора",$AA57=2,$AD57="Матове",$AE57="Відкрита пора",OR($F57=4,$F57=6,$F57=8,$F57=10,$F57=16)),$AP57*Прайс!$G$24,IF(AND($AB57="Матове",$AC57="Закрита пора",$AA57=1,$AD57="Матове",$AE57="Відкрита пора",OR($F57=4,$F57=6,$F57=8,$F57=10,$F57=16)),$AP57*Прайс!$G$25,IF(AND($AB57="Матове",$AC57="Закрита пора",$AA57=2,$AD57="Матове",$AE57="Відкрита пора",OR($F57=4,$F57=6,$F57=8,$F57=10,$F57=16)),$AP57*Прайс!$G$26,IF(AND($AB57="Глянець",$AC57="Закрита пора",$AA57=1,$AD57="Матове",$AE57="Відкрита пора",OR($F57=4,$F57=6,$F57=8,$F57=10,$F57=16)),$AP57*Прайс!$G$27,IF(AND($AB57="Глянець",$AC57="Закрита пора",$AA57=2,$AD57="Матове",$AE57="Відкрита пора",OR($F57=4,$F57=6,$F57=8,$F57=10,$F57=16)),$AP57*Прайс!$G$28,0)))))))))))))</f>
        <v>0</v>
      </c>
      <c r="AI57" s="211">
        <f>IF(OR($C57=0,$C57=""),0,IF(AND($AB57="Матове",$AC57="Відкрита пора",$AA57=1,$AD57="Ламінат",$F57=19),$AP57*Прайс!$I$17,IF(AND($AB57="Матове",$AC57="Відкрита пора",$AA57=2,$AD57="Ламінат",$F57=19),$AP57*Прайс!$I$18,IF(AND($AB57="Матове",$AC57="Закрита пора",$AA57=1,$AD57="Ламінат",$F57=19),$AP57*Прайс!$I$19,IF(AND($AB57="Матове",$AC57="Закрита пора",$AA57=2,$AD57="Ламінат",$F57=19),$AP57*Прайс!$I$20,IF(AND($AB57="Глянець",$AC57="Закрита пора",$AA57=1,$AD57="Ламінат",$F57=19),$AP57*Прайс!$I$21,IF(AND($AB57="Глянець",$AC57="Закрита пора",$AA57=2,$AD57="Ламінат",$F57=19),$AP57*Прайс!$I$22,IF(AND($AB57="Матове",$AC57="Відкрита пора",$AA57=1,$AD57="Матове",$AE57="Відкрита пора",$F57=19),$AP57*Прайс!$I$23,IF(AND($AB57="Матове",$AC57="Відкрита пора",$AA57=2,$AD57="Матове",$AE57="Відкрита пора",$F57=19),$AP57*Прайс!$I$24,IF(AND($AB57="Матове",$AC57="Закрита пора",$AA57=1,$AD57="Матове",$AE57="Відкрита пора",$F57=19),$AP57*Прайс!$I$25,IF(AND($AB57="Матове",$AC57="Закрита пора",$AA57=2,$AD57="Матове",$AE57="Відкрита пора",$F57=19),$AP57*Прайс!$I$26,IF(AND($AB57="Глянець",$AC57="Закрита пора",$AA57=1,$AD57="Матове",$AE57="Відкрита пора",$F57=19),$AP57*Прайс!$I$27,IF(AND($AB57="Глянець",$AC57="Закрита пора",$AA57=2,$AD57="Матове",$AE57="Відкрита пора",$F57=19),$AP57*Прайс!$I$28,0)))))))))))))</f>
        <v>0</v>
      </c>
      <c r="AJ57" s="210" t="str">
        <f>IF(Бланк!$AD57="","",Бланк!$AD57*E57)</f>
        <v/>
      </c>
      <c r="AK57" s="213" t="str">
        <f>IF(OR($AJ57=0,$AJ57=""),"",$AJ57*Прайс!$J$47)</f>
        <v/>
      </c>
      <c r="AL57" s="217"/>
      <c r="AM57" s="222"/>
      <c r="AN57" s="222"/>
      <c r="AO57" s="218"/>
      <c r="AP57" s="107">
        <f t="shared" si="1"/>
        <v>0</v>
      </c>
      <c r="AQ57" s="207"/>
    </row>
    <row r="58" spans="2:43" s="221" customFormat="1" ht="20.25" x14ac:dyDescent="0.3">
      <c r="B58" s="219">
        <v>38</v>
      </c>
      <c r="C58" s="209">
        <f>Бланк!C58</f>
        <v>0</v>
      </c>
      <c r="D58" s="209">
        <f>Бланк!D58</f>
        <v>0</v>
      </c>
      <c r="E58" s="209">
        <f>Бланк!E58</f>
        <v>0</v>
      </c>
      <c r="F58" s="209">
        <f>Бланк!F58</f>
        <v>0</v>
      </c>
      <c r="G58" s="209"/>
      <c r="H58" s="212"/>
      <c r="I58" s="210" t="str">
        <f>IF(Бланк!$I58="","",Бланк!$I58)</f>
        <v/>
      </c>
      <c r="J58" s="211" t="str">
        <f>IF(OR($C58="",$C58=0),"",IF($I58="Пряма з чвертю",(Прайс!$J$42+Прайс!$J$44)*Просчёт!$E58,IF($I58="Пряма без чверті",Просчёт!$E58*Прайс!$J$42,"")))</f>
        <v/>
      </c>
      <c r="K58" s="210" t="str">
        <f>IF(Бланк!$K58="","",Бланк!$K58)</f>
        <v/>
      </c>
      <c r="L58" s="212" t="str">
        <f>IF(Бланк!$J58="","",Бланк!$J58/1000)</f>
        <v/>
      </c>
      <c r="M58" s="213" t="str">
        <f t="shared" si="0"/>
        <v/>
      </c>
      <c r="N58" s="213" t="str">
        <f>IF($K58="","",IF(OR($K58="J № 1",$K58="J № 2",$K58="J № 2L",$K58="J № 2R",$K58="AJ № 2",$K58="AJ № 2L",$K58="AJ № 2R",$K58="U",$K58="V"),$L58*$E58*Прайс!$J$45,IF(OR($K58="AJ № 3R",$K58="AJ № 4R",$K58="AJ № 5R",$K58="AJ № 3L",$K58="AJ № 4L",$K58="AJ № 5L",$K58="AJ № 3",$K58="AJ № 4",$K58="AJ № 5",$K58="J № 3",$K58="J № 4",$K58="J № 5",$K58="J № 6",$K58="J № 7",$K58="L",$K58="AL"),Прайс!$J$45*$E58,IF(OR($K58="J № 3L",$K58="J № 3R",$K58="J № 4L",$K58="J № 4R",$K58="J № 5L",$K58="J № 5R"),$L58/2*Прайс!$J$45*$E58,IF($K58="45 град.",$L58*Прайс!$J$50*$E58,0)))))</f>
        <v/>
      </c>
      <c r="O58" s="210" t="str">
        <f>IF(Бланк!$L58="","",Бланк!$L58)</f>
        <v/>
      </c>
      <c r="P58" s="210" t="str">
        <f>IF(Бланк!$M58="","",Бланк!$M58)</f>
        <v/>
      </c>
      <c r="Q58" s="214"/>
      <c r="R58" s="215"/>
      <c r="S58" s="210" t="str">
        <f>IF(Бланк!$P58="","",Бланк!$P58)</f>
        <v/>
      </c>
      <c r="T58" s="209" t="str">
        <f>IF($S58="","",VLOOKUP($S58,Лист1!$S$5:$T$32,2,FALSE))</f>
        <v/>
      </c>
      <c r="U58" s="215"/>
      <c r="V58" s="212"/>
      <c r="W58" s="212"/>
      <c r="X58" s="212"/>
      <c r="Y58" s="212"/>
      <c r="Z58" s="209"/>
      <c r="AA58" s="209" t="e">
        <f>VLOOKUP($S58,Прайс!$C$62:$E$90,3,FALSE)</f>
        <v>#N/A</v>
      </c>
      <c r="AB58" s="210" t="str">
        <f>IF(Бланк!$X58="","",Бланк!$X58)</f>
        <v/>
      </c>
      <c r="AC58" s="210" t="str">
        <f>IF(Бланк!$Y58="","",Бланк!$Y58)</f>
        <v/>
      </c>
      <c r="AD58" s="210" t="str">
        <f>IF(Бланк!$Z58="","",Бланк!$Z58)</f>
        <v/>
      </c>
      <c r="AE58" s="210" t="str">
        <f>IF(Бланк!$AA58="","",Бланк!$AA58)</f>
        <v/>
      </c>
      <c r="AF58" s="212"/>
      <c r="AG58" s="216"/>
      <c r="AH58" s="211">
        <f>IF(OR($C58=0,$C58=""),0,IF(AND($AB58="Матове",$AC58="Відкрита пора",$AA58=1,$AD58="Ламінат",OR($F58=4,$F58=6,$F58=8,$F58=10,$F58=16)),$AP58*Прайс!$G$17,IF(AND($AB58="Матове",$AC58="Відкрита пора",$AA58=2,$AD58="Ламінат",OR($F58=4,$F58=6,$F58=8,$F58=10,$F58=16)),$AP58*Прайс!$G$18,IF(AND($AB58="Матове",$AC58="Закрита пора",$AA58=1,$AD58="Ламінат",OR($F58=4,$F58=6,$F58=8,$F58=10,$F58=16)),$AP58*Прайс!$G$19,IF(AND($AB58="Матове",$AC58="Закрита пора",$AA58=2,$AD58="Ламінат",OR($F58=4,$F58=6,$F58=8,$F58=10,$F58=16)),$AP58*Прайс!$G$20,IF(AND($AB58="Глянець",$AC58="Закрита пора",$AA58=1,$AD58="Ламінат",OR($F58=4,$F58=6,$F58=8,$F58=10,$F58=16)),$AP58*Прайс!$G$21,IF(AND($AB58="Глянець",$AC58="Закрита пора",$AA58=2,$AD58="Ламінат",OR($F58=4,$F58=6,$F58=8,$F58=10,$F58=16)),$AP58*Прайс!$G$22,IF(AND($AB58="Матове",$AC58="Відкрита пора",$AA58=1,$AD58="Матове",$AE58="Відкрита пора",OR($F58=4,$F58=6,$F58=8,$F58=10,$F58=16)),$AP58*Прайс!$G$23,IF(AND($AB58="Матове",$AC58="Відкрита пора",$AA58=2,$AD58="Матове",$AE58="Відкрита пора",OR($F58=4,$F58=6,$F58=8,$F58=10,$F58=16)),$AP58*Прайс!$G$24,IF(AND($AB58="Матове",$AC58="Закрита пора",$AA58=1,$AD58="Матове",$AE58="Відкрита пора",OR($F58=4,$F58=6,$F58=8,$F58=10,$F58=16)),$AP58*Прайс!$G$25,IF(AND($AB58="Матове",$AC58="Закрита пора",$AA58=2,$AD58="Матове",$AE58="Відкрита пора",OR($F58=4,$F58=6,$F58=8,$F58=10,$F58=16)),$AP58*Прайс!$G$26,IF(AND($AB58="Глянець",$AC58="Закрита пора",$AA58=1,$AD58="Матове",$AE58="Відкрита пора",OR($F58=4,$F58=6,$F58=8,$F58=10,$F58=16)),$AP58*Прайс!$G$27,IF(AND($AB58="Глянець",$AC58="Закрита пора",$AA58=2,$AD58="Матове",$AE58="Відкрита пора",OR($F58=4,$F58=6,$F58=8,$F58=10,$F58=16)),$AP58*Прайс!$G$28,0)))))))))))))</f>
        <v>0</v>
      </c>
      <c r="AI58" s="211">
        <f>IF(OR($C58=0,$C58=""),0,IF(AND($AB58="Матове",$AC58="Відкрита пора",$AA58=1,$AD58="Ламінат",$F58=19),$AP58*Прайс!$I$17,IF(AND($AB58="Матове",$AC58="Відкрита пора",$AA58=2,$AD58="Ламінат",$F58=19),$AP58*Прайс!$I$18,IF(AND($AB58="Матове",$AC58="Закрита пора",$AA58=1,$AD58="Ламінат",$F58=19),$AP58*Прайс!$I$19,IF(AND($AB58="Матове",$AC58="Закрита пора",$AA58=2,$AD58="Ламінат",$F58=19),$AP58*Прайс!$I$20,IF(AND($AB58="Глянець",$AC58="Закрита пора",$AA58=1,$AD58="Ламінат",$F58=19),$AP58*Прайс!$I$21,IF(AND($AB58="Глянець",$AC58="Закрита пора",$AA58=2,$AD58="Ламінат",$F58=19),$AP58*Прайс!$I$22,IF(AND($AB58="Матове",$AC58="Відкрита пора",$AA58=1,$AD58="Матове",$AE58="Відкрита пора",$F58=19),$AP58*Прайс!$I$23,IF(AND($AB58="Матове",$AC58="Відкрита пора",$AA58=2,$AD58="Матове",$AE58="Відкрита пора",$F58=19),$AP58*Прайс!$I$24,IF(AND($AB58="Матове",$AC58="Закрита пора",$AA58=1,$AD58="Матове",$AE58="Відкрита пора",$F58=19),$AP58*Прайс!$I$25,IF(AND($AB58="Матове",$AC58="Закрита пора",$AA58=2,$AD58="Матове",$AE58="Відкрита пора",$F58=19),$AP58*Прайс!$I$26,IF(AND($AB58="Глянець",$AC58="Закрита пора",$AA58=1,$AD58="Матове",$AE58="Відкрита пора",$F58=19),$AP58*Прайс!$I$27,IF(AND($AB58="Глянець",$AC58="Закрита пора",$AA58=2,$AD58="Матове",$AE58="Відкрита пора",$F58=19),$AP58*Прайс!$I$28,0)))))))))))))</f>
        <v>0</v>
      </c>
      <c r="AJ58" s="210" t="str">
        <f>IF(Бланк!$AD58="","",Бланк!$AD58*E58)</f>
        <v/>
      </c>
      <c r="AK58" s="213" t="str">
        <f>IF(OR($AJ58=0,$AJ58=""),"",$AJ58*Прайс!$J$47)</f>
        <v/>
      </c>
      <c r="AL58" s="217"/>
      <c r="AM58" s="222"/>
      <c r="AN58" s="222"/>
      <c r="AO58" s="218"/>
      <c r="AP58" s="107">
        <f t="shared" si="1"/>
        <v>0</v>
      </c>
      <c r="AQ58" s="207"/>
    </row>
    <row r="59" spans="2:43" s="221" customFormat="1" ht="20.25" x14ac:dyDescent="0.3">
      <c r="B59" s="219">
        <v>39</v>
      </c>
      <c r="C59" s="209">
        <f>Бланк!C59</f>
        <v>0</v>
      </c>
      <c r="D59" s="209">
        <f>Бланк!D59</f>
        <v>0</v>
      </c>
      <c r="E59" s="209">
        <f>Бланк!E59</f>
        <v>0</v>
      </c>
      <c r="F59" s="209">
        <f>Бланк!F59</f>
        <v>0</v>
      </c>
      <c r="G59" s="209"/>
      <c r="H59" s="212"/>
      <c r="I59" s="210" t="str">
        <f>IF(Бланк!$I59="","",Бланк!$I59)</f>
        <v/>
      </c>
      <c r="J59" s="211" t="str">
        <f>IF(OR($C59="",$C59=0),"",IF($I59="Пряма з чвертю",(Прайс!$J$42+Прайс!$J$44)*Просчёт!$E59,IF($I59="Пряма без чверті",Просчёт!$E59*Прайс!$J$42,"")))</f>
        <v/>
      </c>
      <c r="K59" s="210" t="str">
        <f>IF(Бланк!$K59="","",Бланк!$K59)</f>
        <v/>
      </c>
      <c r="L59" s="212" t="str">
        <f>IF(Бланк!$J59="","",Бланк!$J59/1000)</f>
        <v/>
      </c>
      <c r="M59" s="213" t="str">
        <f t="shared" si="0"/>
        <v/>
      </c>
      <c r="N59" s="213" t="str">
        <f>IF($K59="","",IF(OR($K59="J № 1",$K59="J № 2",$K59="J № 2L",$K59="J № 2R",$K59="AJ № 2",$K59="AJ № 2L",$K59="AJ № 2R",$K59="U",$K59="V"),$L59*$E59*Прайс!$J$45,IF(OR($K59="AJ № 3R",$K59="AJ № 4R",$K59="AJ № 5R",$K59="AJ № 3L",$K59="AJ № 4L",$K59="AJ № 5L",$K59="AJ № 3",$K59="AJ № 4",$K59="AJ № 5",$K59="J № 3",$K59="J № 4",$K59="J № 5",$K59="J № 6",$K59="J № 7",$K59="L",$K59="AL"),Прайс!$J$45*$E59,IF(OR($K59="J № 3L",$K59="J № 3R",$K59="J № 4L",$K59="J № 4R",$K59="J № 5L",$K59="J № 5R"),$L59/2*Прайс!$J$45*$E59,IF($K59="45 град.",$L59*Прайс!$J$50*$E59,0)))))</f>
        <v/>
      </c>
      <c r="O59" s="210" t="str">
        <f>IF(Бланк!$L59="","",Бланк!$L59)</f>
        <v/>
      </c>
      <c r="P59" s="210" t="str">
        <f>IF(Бланк!$M59="","",Бланк!$M59)</f>
        <v/>
      </c>
      <c r="Q59" s="214"/>
      <c r="R59" s="215"/>
      <c r="S59" s="210" t="str">
        <f>IF(Бланк!$P59="","",Бланк!$P59)</f>
        <v/>
      </c>
      <c r="T59" s="209" t="str">
        <f>IF($S59="","",VLOOKUP($S59,Лист1!$S$5:$T$32,2,FALSE))</f>
        <v/>
      </c>
      <c r="U59" s="215"/>
      <c r="V59" s="212"/>
      <c r="W59" s="212"/>
      <c r="X59" s="212"/>
      <c r="Y59" s="212"/>
      <c r="Z59" s="209"/>
      <c r="AA59" s="209" t="e">
        <f>VLOOKUP($S59,Прайс!$C$62:$E$90,3,FALSE)</f>
        <v>#N/A</v>
      </c>
      <c r="AB59" s="210" t="str">
        <f>IF(Бланк!$X59="","",Бланк!$X59)</f>
        <v/>
      </c>
      <c r="AC59" s="210" t="str">
        <f>IF(Бланк!$Y59="","",Бланк!$Y59)</f>
        <v/>
      </c>
      <c r="AD59" s="210" t="str">
        <f>IF(Бланк!$Z59="","",Бланк!$Z59)</f>
        <v/>
      </c>
      <c r="AE59" s="210" t="str">
        <f>IF(Бланк!$AA59="","",Бланк!$AA59)</f>
        <v/>
      </c>
      <c r="AF59" s="212"/>
      <c r="AG59" s="216"/>
      <c r="AH59" s="211">
        <f>IF(OR($C59=0,$C59=""),0,IF(AND($AB59="Матове",$AC59="Відкрита пора",$AA59=1,$AD59="Ламінат",OR($F59=4,$F59=6,$F59=8,$F59=10,$F59=16)),$AP59*Прайс!$G$17,IF(AND($AB59="Матове",$AC59="Відкрита пора",$AA59=2,$AD59="Ламінат",OR($F59=4,$F59=6,$F59=8,$F59=10,$F59=16)),$AP59*Прайс!$G$18,IF(AND($AB59="Матове",$AC59="Закрита пора",$AA59=1,$AD59="Ламінат",OR($F59=4,$F59=6,$F59=8,$F59=10,$F59=16)),$AP59*Прайс!$G$19,IF(AND($AB59="Матове",$AC59="Закрита пора",$AA59=2,$AD59="Ламінат",OR($F59=4,$F59=6,$F59=8,$F59=10,$F59=16)),$AP59*Прайс!$G$20,IF(AND($AB59="Глянець",$AC59="Закрита пора",$AA59=1,$AD59="Ламінат",OR($F59=4,$F59=6,$F59=8,$F59=10,$F59=16)),$AP59*Прайс!$G$21,IF(AND($AB59="Глянець",$AC59="Закрита пора",$AA59=2,$AD59="Ламінат",OR($F59=4,$F59=6,$F59=8,$F59=10,$F59=16)),$AP59*Прайс!$G$22,IF(AND($AB59="Матове",$AC59="Відкрита пора",$AA59=1,$AD59="Матове",$AE59="Відкрита пора",OR($F59=4,$F59=6,$F59=8,$F59=10,$F59=16)),$AP59*Прайс!$G$23,IF(AND($AB59="Матове",$AC59="Відкрита пора",$AA59=2,$AD59="Матове",$AE59="Відкрита пора",OR($F59=4,$F59=6,$F59=8,$F59=10,$F59=16)),$AP59*Прайс!$G$24,IF(AND($AB59="Матове",$AC59="Закрита пора",$AA59=1,$AD59="Матове",$AE59="Відкрита пора",OR($F59=4,$F59=6,$F59=8,$F59=10,$F59=16)),$AP59*Прайс!$G$25,IF(AND($AB59="Матове",$AC59="Закрита пора",$AA59=2,$AD59="Матове",$AE59="Відкрита пора",OR($F59=4,$F59=6,$F59=8,$F59=10,$F59=16)),$AP59*Прайс!$G$26,IF(AND($AB59="Глянець",$AC59="Закрита пора",$AA59=1,$AD59="Матове",$AE59="Відкрита пора",OR($F59=4,$F59=6,$F59=8,$F59=10,$F59=16)),$AP59*Прайс!$G$27,IF(AND($AB59="Глянець",$AC59="Закрита пора",$AA59=2,$AD59="Матове",$AE59="Відкрита пора",OR($F59=4,$F59=6,$F59=8,$F59=10,$F59=16)),$AP59*Прайс!$G$28,0)))))))))))))</f>
        <v>0</v>
      </c>
      <c r="AI59" s="211">
        <f>IF(OR($C59=0,$C59=""),0,IF(AND($AB59="Матове",$AC59="Відкрита пора",$AA59=1,$AD59="Ламінат",$F59=19),$AP59*Прайс!$I$17,IF(AND($AB59="Матове",$AC59="Відкрита пора",$AA59=2,$AD59="Ламінат",$F59=19),$AP59*Прайс!$I$18,IF(AND($AB59="Матове",$AC59="Закрита пора",$AA59=1,$AD59="Ламінат",$F59=19),$AP59*Прайс!$I$19,IF(AND($AB59="Матове",$AC59="Закрита пора",$AA59=2,$AD59="Ламінат",$F59=19),$AP59*Прайс!$I$20,IF(AND($AB59="Глянець",$AC59="Закрита пора",$AA59=1,$AD59="Ламінат",$F59=19),$AP59*Прайс!$I$21,IF(AND($AB59="Глянець",$AC59="Закрита пора",$AA59=2,$AD59="Ламінат",$F59=19),$AP59*Прайс!$I$22,IF(AND($AB59="Матове",$AC59="Відкрита пора",$AA59=1,$AD59="Матове",$AE59="Відкрита пора",$F59=19),$AP59*Прайс!$I$23,IF(AND($AB59="Матове",$AC59="Відкрита пора",$AA59=2,$AD59="Матове",$AE59="Відкрита пора",$F59=19),$AP59*Прайс!$I$24,IF(AND($AB59="Матове",$AC59="Закрита пора",$AA59=1,$AD59="Матове",$AE59="Відкрита пора",$F59=19),$AP59*Прайс!$I$25,IF(AND($AB59="Матове",$AC59="Закрита пора",$AA59=2,$AD59="Матове",$AE59="Відкрита пора",$F59=19),$AP59*Прайс!$I$26,IF(AND($AB59="Глянець",$AC59="Закрита пора",$AA59=1,$AD59="Матове",$AE59="Відкрита пора",$F59=19),$AP59*Прайс!$I$27,IF(AND($AB59="Глянець",$AC59="Закрита пора",$AA59=2,$AD59="Матове",$AE59="Відкрита пора",$F59=19),$AP59*Прайс!$I$28,0)))))))))))))</f>
        <v>0</v>
      </c>
      <c r="AJ59" s="210" t="str">
        <f>IF(Бланк!$AD59="","",Бланк!$AD59*E59)</f>
        <v/>
      </c>
      <c r="AK59" s="213" t="str">
        <f>IF(OR($AJ59=0,$AJ59=""),"",$AJ59*Прайс!$J$47)</f>
        <v/>
      </c>
      <c r="AL59" s="217"/>
      <c r="AM59" s="222"/>
      <c r="AN59" s="222"/>
      <c r="AO59" s="218"/>
      <c r="AP59" s="107">
        <f t="shared" si="1"/>
        <v>0</v>
      </c>
      <c r="AQ59" s="207"/>
    </row>
    <row r="60" spans="2:43" s="221" customFormat="1" ht="20.25" x14ac:dyDescent="0.3">
      <c r="B60" s="219">
        <v>40</v>
      </c>
      <c r="C60" s="209">
        <f>Бланк!C60</f>
        <v>0</v>
      </c>
      <c r="D60" s="209">
        <f>Бланк!D60</f>
        <v>0</v>
      </c>
      <c r="E60" s="209">
        <f>Бланк!E60</f>
        <v>0</v>
      </c>
      <c r="F60" s="209">
        <f>Бланк!F60</f>
        <v>0</v>
      </c>
      <c r="G60" s="209"/>
      <c r="H60" s="212"/>
      <c r="I60" s="210" t="str">
        <f>IF(Бланк!$I60="","",Бланк!$I60)</f>
        <v/>
      </c>
      <c r="J60" s="211" t="str">
        <f>IF(OR($C60="",$C60=0),"",IF($I60="Пряма з чвертю",(Прайс!$J$42+Прайс!$J$44)*Просчёт!$E60,IF($I60="Пряма без чверті",Просчёт!$E60*Прайс!$J$42,"")))</f>
        <v/>
      </c>
      <c r="K60" s="210" t="str">
        <f>IF(Бланк!$K60="","",Бланк!$K60)</f>
        <v/>
      </c>
      <c r="L60" s="212" t="str">
        <f>IF(Бланк!$J60="","",Бланк!$J60/1000)</f>
        <v/>
      </c>
      <c r="M60" s="213" t="str">
        <f t="shared" si="0"/>
        <v/>
      </c>
      <c r="N60" s="213" t="str">
        <f>IF($K60="","",IF(OR($K60="J № 1",$K60="J № 2",$K60="J № 2L",$K60="J № 2R",$K60="AJ № 2",$K60="AJ № 2L",$K60="AJ № 2R",$K60="U",$K60="V"),$L60*$E60*Прайс!$J$45,IF(OR($K60="AJ № 3R",$K60="AJ № 4R",$K60="AJ № 5R",$K60="AJ № 3L",$K60="AJ № 4L",$K60="AJ № 5L",$K60="AJ № 3",$K60="AJ № 4",$K60="AJ № 5",$K60="J № 3",$K60="J № 4",$K60="J № 5",$K60="J № 6",$K60="J № 7",$K60="L",$K60="AL"),Прайс!$J$45*$E60,IF(OR($K60="J № 3L",$K60="J № 3R",$K60="J № 4L",$K60="J № 4R",$K60="J № 5L",$K60="J № 5R"),$L60/2*Прайс!$J$45*$E60,IF($K60="45 град.",$L60*Прайс!$J$50*$E60,0)))))</f>
        <v/>
      </c>
      <c r="O60" s="210" t="str">
        <f>IF(Бланк!$L60="","",Бланк!$L60)</f>
        <v/>
      </c>
      <c r="P60" s="210" t="str">
        <f>IF(Бланк!$M60="","",Бланк!$M60)</f>
        <v/>
      </c>
      <c r="Q60" s="214"/>
      <c r="R60" s="215"/>
      <c r="S60" s="210" t="str">
        <f>IF(Бланк!$P60="","",Бланк!$P60)</f>
        <v/>
      </c>
      <c r="T60" s="209" t="str">
        <f>IF($S60="","",VLOOKUP($S60,Лист1!$S$5:$T$32,2,FALSE))</f>
        <v/>
      </c>
      <c r="U60" s="215"/>
      <c r="V60" s="212"/>
      <c r="W60" s="212"/>
      <c r="X60" s="212"/>
      <c r="Y60" s="212"/>
      <c r="Z60" s="209"/>
      <c r="AA60" s="209" t="e">
        <f>VLOOKUP($S60,Прайс!$C$62:$E$90,3,FALSE)</f>
        <v>#N/A</v>
      </c>
      <c r="AB60" s="210" t="str">
        <f>IF(Бланк!$X60="","",Бланк!$X60)</f>
        <v/>
      </c>
      <c r="AC60" s="210" t="str">
        <f>IF(Бланк!$Y60="","",Бланк!$Y60)</f>
        <v/>
      </c>
      <c r="AD60" s="210" t="str">
        <f>IF(Бланк!$Z60="","",Бланк!$Z60)</f>
        <v/>
      </c>
      <c r="AE60" s="210" t="str">
        <f>IF(Бланк!$AA60="","",Бланк!$AA60)</f>
        <v/>
      </c>
      <c r="AF60" s="212"/>
      <c r="AG60" s="216"/>
      <c r="AH60" s="211">
        <f>IF(OR($C60=0,$C60=""),0,IF(AND($AB60="Матове",$AC60="Відкрита пора",$AA60=1,$AD60="Ламінат",OR($F60=4,$F60=6,$F60=8,$F60=10,$F60=16)),$AP60*Прайс!$G$17,IF(AND($AB60="Матове",$AC60="Відкрита пора",$AA60=2,$AD60="Ламінат",OR($F60=4,$F60=6,$F60=8,$F60=10,$F60=16)),$AP60*Прайс!$G$18,IF(AND($AB60="Матове",$AC60="Закрита пора",$AA60=1,$AD60="Ламінат",OR($F60=4,$F60=6,$F60=8,$F60=10,$F60=16)),$AP60*Прайс!$G$19,IF(AND($AB60="Матове",$AC60="Закрита пора",$AA60=2,$AD60="Ламінат",OR($F60=4,$F60=6,$F60=8,$F60=10,$F60=16)),$AP60*Прайс!$G$20,IF(AND($AB60="Глянець",$AC60="Закрита пора",$AA60=1,$AD60="Ламінат",OR($F60=4,$F60=6,$F60=8,$F60=10,$F60=16)),$AP60*Прайс!$G$21,IF(AND($AB60="Глянець",$AC60="Закрита пора",$AA60=2,$AD60="Ламінат",OR($F60=4,$F60=6,$F60=8,$F60=10,$F60=16)),$AP60*Прайс!$G$22,IF(AND($AB60="Матове",$AC60="Відкрита пора",$AA60=1,$AD60="Матове",$AE60="Відкрита пора",OR($F60=4,$F60=6,$F60=8,$F60=10,$F60=16)),$AP60*Прайс!$G$23,IF(AND($AB60="Матове",$AC60="Відкрита пора",$AA60=2,$AD60="Матове",$AE60="Відкрита пора",OR($F60=4,$F60=6,$F60=8,$F60=10,$F60=16)),$AP60*Прайс!$G$24,IF(AND($AB60="Матове",$AC60="Закрита пора",$AA60=1,$AD60="Матове",$AE60="Відкрита пора",OR($F60=4,$F60=6,$F60=8,$F60=10,$F60=16)),$AP60*Прайс!$G$25,IF(AND($AB60="Матове",$AC60="Закрита пора",$AA60=2,$AD60="Матове",$AE60="Відкрита пора",OR($F60=4,$F60=6,$F60=8,$F60=10,$F60=16)),$AP60*Прайс!$G$26,IF(AND($AB60="Глянець",$AC60="Закрита пора",$AA60=1,$AD60="Матове",$AE60="Відкрита пора",OR($F60=4,$F60=6,$F60=8,$F60=10,$F60=16)),$AP60*Прайс!$G$27,IF(AND($AB60="Глянець",$AC60="Закрита пора",$AA60=2,$AD60="Матове",$AE60="Відкрита пора",OR($F60=4,$F60=6,$F60=8,$F60=10,$F60=16)),$AP60*Прайс!$G$28,0)))))))))))))</f>
        <v>0</v>
      </c>
      <c r="AI60" s="211">
        <f>IF(OR($C60=0,$C60=""),0,IF(AND($AB60="Матове",$AC60="Відкрита пора",$AA60=1,$AD60="Ламінат",$F60=19),$AP60*Прайс!$I$17,IF(AND($AB60="Матове",$AC60="Відкрита пора",$AA60=2,$AD60="Ламінат",$F60=19),$AP60*Прайс!$I$18,IF(AND($AB60="Матове",$AC60="Закрита пора",$AA60=1,$AD60="Ламінат",$F60=19),$AP60*Прайс!$I$19,IF(AND($AB60="Матове",$AC60="Закрита пора",$AA60=2,$AD60="Ламінат",$F60=19),$AP60*Прайс!$I$20,IF(AND($AB60="Глянець",$AC60="Закрита пора",$AA60=1,$AD60="Ламінат",$F60=19),$AP60*Прайс!$I$21,IF(AND($AB60="Глянець",$AC60="Закрита пора",$AA60=2,$AD60="Ламінат",$F60=19),$AP60*Прайс!$I$22,IF(AND($AB60="Матове",$AC60="Відкрита пора",$AA60=1,$AD60="Матове",$AE60="Відкрита пора",$F60=19),$AP60*Прайс!$I$23,IF(AND($AB60="Матове",$AC60="Відкрита пора",$AA60=2,$AD60="Матове",$AE60="Відкрита пора",$F60=19),$AP60*Прайс!$I$24,IF(AND($AB60="Матове",$AC60="Закрита пора",$AA60=1,$AD60="Матове",$AE60="Відкрита пора",$F60=19),$AP60*Прайс!$I$25,IF(AND($AB60="Матове",$AC60="Закрита пора",$AA60=2,$AD60="Матове",$AE60="Відкрита пора",$F60=19),$AP60*Прайс!$I$26,IF(AND($AB60="Глянець",$AC60="Закрита пора",$AA60=1,$AD60="Матове",$AE60="Відкрита пора",$F60=19),$AP60*Прайс!$I$27,IF(AND($AB60="Глянець",$AC60="Закрита пора",$AA60=2,$AD60="Матове",$AE60="Відкрита пора",$F60=19),$AP60*Прайс!$I$28,0)))))))))))))</f>
        <v>0</v>
      </c>
      <c r="AJ60" s="210" t="str">
        <f>IF(Бланк!$AD60="","",Бланк!$AD60*E60)</f>
        <v/>
      </c>
      <c r="AK60" s="213" t="str">
        <f>IF(OR($AJ60=0,$AJ60=""),"",$AJ60*Прайс!$J$47)</f>
        <v/>
      </c>
      <c r="AL60" s="217"/>
      <c r="AM60" s="222"/>
      <c r="AN60" s="222"/>
      <c r="AO60" s="218"/>
      <c r="AP60" s="107">
        <f t="shared" si="1"/>
        <v>0</v>
      </c>
      <c r="AQ60" s="207"/>
    </row>
    <row r="61" spans="2:43" s="221" customFormat="1" ht="20.25" x14ac:dyDescent="0.3">
      <c r="B61" s="219">
        <v>41</v>
      </c>
      <c r="C61" s="209">
        <f>Бланк!C61</f>
        <v>0</v>
      </c>
      <c r="D61" s="209">
        <f>Бланк!D61</f>
        <v>0</v>
      </c>
      <c r="E61" s="209">
        <f>Бланк!E61</f>
        <v>0</v>
      </c>
      <c r="F61" s="209">
        <f>Бланк!F61</f>
        <v>0</v>
      </c>
      <c r="G61" s="209"/>
      <c r="H61" s="212"/>
      <c r="I61" s="210" t="str">
        <f>IF(Бланк!$I61="","",Бланк!$I61)</f>
        <v/>
      </c>
      <c r="J61" s="211" t="str">
        <f>IF(OR($C61="",$C61=0),"",IF($I61="Пряма з чвертю",(Прайс!$J$42+Прайс!$J$44)*Просчёт!$E61,IF($I61="Пряма без чверті",Просчёт!$E61*Прайс!$J$42,"")))</f>
        <v/>
      </c>
      <c r="K61" s="210" t="str">
        <f>IF(Бланк!$K61="","",Бланк!$K61)</f>
        <v/>
      </c>
      <c r="L61" s="212" t="str">
        <f>IF(Бланк!$J61="","",Бланк!$J61/1000)</f>
        <v/>
      </c>
      <c r="M61" s="213" t="str">
        <f t="shared" ref="M61:M65" si="2">IF($K61="","",IF(OR($K61="J № 1",$K61="J № 2",$K61="J № 2L",$K61="J № 2R",$K61="AJ № 2",$K61="AJ № 2L",$K61="AJ № 2R",$K61="U",$K61="V"),$L61*$E61,IF(OR($K61="J № 3L",$K61="J № 3R",$K61="J № 4L",$K61="J № 4R",$K61="J № 5L",$K61="J № 5R"),$L61/2*$E61,IF(K61="45 град.",$L61*$E61,0))))</f>
        <v/>
      </c>
      <c r="N61" s="213" t="str">
        <f>IF($K61="","",IF(OR($K61="J № 1",$K61="J № 2",$K61="J № 2L",$K61="J № 2R",$K61="AJ № 2",$K61="AJ № 2L",$K61="AJ № 2R",$K61="U",$K61="V"),$L61*$E61*Прайс!$J$45,IF(OR($K61="AJ № 3R",$K61="AJ № 4R",$K61="AJ № 5R",$K61="AJ № 3L",$K61="AJ № 4L",$K61="AJ № 5L",$K61="AJ № 3",$K61="AJ № 4",$K61="AJ № 5",$K61="J № 3",$K61="J № 4",$K61="J № 5",$K61="J № 6",$K61="J № 7",$K61="L",$K61="AL"),Прайс!$J$45*$E61,IF(OR($K61="J № 3L",$K61="J № 3R",$K61="J № 4L",$K61="J № 4R",$K61="J № 5L",$K61="J № 5R"),$L61/2*Прайс!$J$45*$E61,IF($K61="45 град.",$L61*Прайс!$J$50*$E61,0)))))</f>
        <v/>
      </c>
      <c r="O61" s="210" t="str">
        <f>IF(Бланк!$L61="","",Бланк!$L61)</f>
        <v/>
      </c>
      <c r="P61" s="210" t="str">
        <f>IF(Бланк!$M61="","",Бланк!$M61)</f>
        <v/>
      </c>
      <c r="Q61" s="214"/>
      <c r="R61" s="215"/>
      <c r="S61" s="210" t="str">
        <f>IF(Бланк!$P61="","",Бланк!$P61)</f>
        <v/>
      </c>
      <c r="T61" s="209" t="str">
        <f>IF($S61="","",VLOOKUP($S61,Лист1!$S$5:$T$32,2,FALSE))</f>
        <v/>
      </c>
      <c r="U61" s="215"/>
      <c r="V61" s="212"/>
      <c r="W61" s="212"/>
      <c r="X61" s="212"/>
      <c r="Y61" s="212"/>
      <c r="Z61" s="209"/>
      <c r="AA61" s="209" t="e">
        <f>VLOOKUP($S61,Прайс!$C$62:$E$90,3,FALSE)</f>
        <v>#N/A</v>
      </c>
      <c r="AB61" s="210" t="str">
        <f>IF(Бланк!$X61="","",Бланк!$X61)</f>
        <v/>
      </c>
      <c r="AC61" s="210" t="str">
        <f>IF(Бланк!$Y61="","",Бланк!$Y61)</f>
        <v/>
      </c>
      <c r="AD61" s="210" t="str">
        <f>IF(Бланк!$Z61="","",Бланк!$Z61)</f>
        <v/>
      </c>
      <c r="AE61" s="210" t="str">
        <f>IF(Бланк!$AA61="","",Бланк!$AA61)</f>
        <v/>
      </c>
      <c r="AF61" s="212"/>
      <c r="AG61" s="216"/>
      <c r="AH61" s="211">
        <f>IF(OR($C61=0,$C61=""),0,IF(AND($AB61="Матове",$AC61="Відкрита пора",$AA61=1,$AD61="Ламінат",OR($F61=4,$F61=6,$F61=8,$F61=10,$F61=16)),$AP61*Прайс!$G$17,IF(AND($AB61="Матове",$AC61="Відкрита пора",$AA61=2,$AD61="Ламінат",OR($F61=4,$F61=6,$F61=8,$F61=10,$F61=16)),$AP61*Прайс!$G$18,IF(AND($AB61="Матове",$AC61="Закрита пора",$AA61=1,$AD61="Ламінат",OR($F61=4,$F61=6,$F61=8,$F61=10,$F61=16)),$AP61*Прайс!$G$19,IF(AND($AB61="Матове",$AC61="Закрита пора",$AA61=2,$AD61="Ламінат",OR($F61=4,$F61=6,$F61=8,$F61=10,$F61=16)),$AP61*Прайс!$G$20,IF(AND($AB61="Глянець",$AC61="Закрита пора",$AA61=1,$AD61="Ламінат",OR($F61=4,$F61=6,$F61=8,$F61=10,$F61=16)),$AP61*Прайс!$G$21,IF(AND($AB61="Глянець",$AC61="Закрита пора",$AA61=2,$AD61="Ламінат",OR($F61=4,$F61=6,$F61=8,$F61=10,$F61=16)),$AP61*Прайс!$G$22,IF(AND($AB61="Матове",$AC61="Відкрита пора",$AA61=1,$AD61="Матове",$AE61="Відкрита пора",OR($F61=4,$F61=6,$F61=8,$F61=10,$F61=16)),$AP61*Прайс!$G$23,IF(AND($AB61="Матове",$AC61="Відкрита пора",$AA61=2,$AD61="Матове",$AE61="Відкрита пора",OR($F61=4,$F61=6,$F61=8,$F61=10,$F61=16)),$AP61*Прайс!$G$24,IF(AND($AB61="Матове",$AC61="Закрита пора",$AA61=1,$AD61="Матове",$AE61="Відкрита пора",OR($F61=4,$F61=6,$F61=8,$F61=10,$F61=16)),$AP61*Прайс!$G$25,IF(AND($AB61="Матове",$AC61="Закрита пора",$AA61=2,$AD61="Матове",$AE61="Відкрита пора",OR($F61=4,$F61=6,$F61=8,$F61=10,$F61=16)),$AP61*Прайс!$G$26,IF(AND($AB61="Глянець",$AC61="Закрита пора",$AA61=1,$AD61="Матове",$AE61="Відкрита пора",OR($F61=4,$F61=6,$F61=8,$F61=10,$F61=16)),$AP61*Прайс!$G$27,IF(AND($AB61="Глянець",$AC61="Закрита пора",$AA61=2,$AD61="Матове",$AE61="Відкрита пора",OR($F61=4,$F61=6,$F61=8,$F61=10,$F61=16)),$AP61*Прайс!$G$28,0)))))))))))))</f>
        <v>0</v>
      </c>
      <c r="AI61" s="211">
        <f>IF(OR($C61=0,$C61=""),0,IF(AND($AB61="Матове",$AC61="Відкрита пора",$AA61=1,$AD61="Ламінат",$F61=19),$AP61*Прайс!$I$17,IF(AND($AB61="Матове",$AC61="Відкрита пора",$AA61=2,$AD61="Ламінат",$F61=19),$AP61*Прайс!$I$18,IF(AND($AB61="Матове",$AC61="Закрита пора",$AA61=1,$AD61="Ламінат",$F61=19),$AP61*Прайс!$I$19,IF(AND($AB61="Матове",$AC61="Закрита пора",$AA61=2,$AD61="Ламінат",$F61=19),$AP61*Прайс!$I$20,IF(AND($AB61="Глянець",$AC61="Закрита пора",$AA61=1,$AD61="Ламінат",$F61=19),$AP61*Прайс!$I$21,IF(AND($AB61="Глянець",$AC61="Закрита пора",$AA61=2,$AD61="Ламінат",$F61=19),$AP61*Прайс!$I$22,IF(AND($AB61="Матове",$AC61="Відкрита пора",$AA61=1,$AD61="Матове",$AE61="Відкрита пора",$F61=19),$AP61*Прайс!$I$23,IF(AND($AB61="Матове",$AC61="Відкрита пора",$AA61=2,$AD61="Матове",$AE61="Відкрита пора",$F61=19),$AP61*Прайс!$I$24,IF(AND($AB61="Матове",$AC61="Закрита пора",$AA61=1,$AD61="Матове",$AE61="Відкрита пора",$F61=19),$AP61*Прайс!$I$25,IF(AND($AB61="Матове",$AC61="Закрита пора",$AA61=2,$AD61="Матове",$AE61="Відкрита пора",$F61=19),$AP61*Прайс!$I$26,IF(AND($AB61="Глянець",$AC61="Закрита пора",$AA61=1,$AD61="Матове",$AE61="Відкрита пора",$F61=19),$AP61*Прайс!$I$27,IF(AND($AB61="Глянець",$AC61="Закрита пора",$AA61=2,$AD61="Матове",$AE61="Відкрита пора",$F61=19),$AP61*Прайс!$I$28,0)))))))))))))</f>
        <v>0</v>
      </c>
      <c r="AJ61" s="210" t="str">
        <f>IF(Бланк!$AD61="","",Бланк!$AD61*E61)</f>
        <v/>
      </c>
      <c r="AK61" s="213" t="str">
        <f>IF(OR($AJ61=0,$AJ61=""),"",$AJ61*Прайс!$J$47)</f>
        <v/>
      </c>
      <c r="AL61" s="217"/>
      <c r="AM61" s="222"/>
      <c r="AN61" s="222"/>
      <c r="AO61" s="218"/>
      <c r="AP61" s="107">
        <f t="shared" si="1"/>
        <v>0</v>
      </c>
      <c r="AQ61" s="207"/>
    </row>
    <row r="62" spans="2:43" s="221" customFormat="1" ht="20.25" x14ac:dyDescent="0.3">
      <c r="B62" s="219">
        <v>42</v>
      </c>
      <c r="C62" s="209">
        <f>Бланк!C62</f>
        <v>0</v>
      </c>
      <c r="D62" s="209">
        <f>Бланк!D62</f>
        <v>0</v>
      </c>
      <c r="E62" s="209">
        <f>Бланк!E62</f>
        <v>0</v>
      </c>
      <c r="F62" s="209">
        <f>Бланк!F62</f>
        <v>0</v>
      </c>
      <c r="G62" s="209"/>
      <c r="H62" s="212"/>
      <c r="I62" s="210" t="str">
        <f>IF(Бланк!$I62="","",Бланк!$I62)</f>
        <v/>
      </c>
      <c r="J62" s="211" t="str">
        <f>IF(OR($C62="",$C62=0),"",IF($I62="Пряма з чвертю",(Прайс!$J$42+Прайс!$J$44)*Просчёт!$E62,IF($I62="Пряма без чверті",Просчёт!$E62*Прайс!$J$42,"")))</f>
        <v/>
      </c>
      <c r="K62" s="210" t="str">
        <f>IF(Бланк!$K62="","",Бланк!$K62)</f>
        <v/>
      </c>
      <c r="L62" s="212" t="str">
        <f>IF(Бланк!$J62="","",Бланк!$J62/1000)</f>
        <v/>
      </c>
      <c r="M62" s="213" t="str">
        <f t="shared" si="2"/>
        <v/>
      </c>
      <c r="N62" s="213" t="str">
        <f>IF($K62="","",IF(OR($K62="J № 1",$K62="J № 2",$K62="J № 2L",$K62="J № 2R",$K62="AJ № 2",$K62="AJ № 2L",$K62="AJ № 2R",$K62="U",$K62="V"),$L62*$E62*Прайс!$J$45,IF(OR($K62="AJ № 3R",$K62="AJ № 4R",$K62="AJ № 5R",$K62="AJ № 3L",$K62="AJ № 4L",$K62="AJ № 5L",$K62="AJ № 3",$K62="AJ № 4",$K62="AJ № 5",$K62="J № 3",$K62="J № 4",$K62="J № 5",$K62="J № 6",$K62="J № 7",$K62="L",$K62="AL"),Прайс!$J$45*$E62,IF(OR($K62="J № 3L",$K62="J № 3R",$K62="J № 4L",$K62="J № 4R",$K62="J № 5L",$K62="J № 5R"),$L62/2*Прайс!$J$45*$E62,IF($K62="45 град.",$L62*Прайс!$J$50*$E62,0)))))</f>
        <v/>
      </c>
      <c r="O62" s="210" t="str">
        <f>IF(Бланк!$L62="","",Бланк!$L62)</f>
        <v/>
      </c>
      <c r="P62" s="210" t="str">
        <f>IF(Бланк!$M62="","",Бланк!$M62)</f>
        <v/>
      </c>
      <c r="Q62" s="214"/>
      <c r="R62" s="215"/>
      <c r="S62" s="210" t="str">
        <f>IF(Бланк!$P62="","",Бланк!$P62)</f>
        <v/>
      </c>
      <c r="T62" s="209" t="str">
        <f>IF($S62="","",VLOOKUP($S62,Лист1!$S$5:$T$32,2,FALSE))</f>
        <v/>
      </c>
      <c r="U62" s="215"/>
      <c r="V62" s="212"/>
      <c r="W62" s="212"/>
      <c r="X62" s="212"/>
      <c r="Y62" s="212"/>
      <c r="Z62" s="209"/>
      <c r="AA62" s="209" t="e">
        <f>VLOOKUP($S62,Прайс!$C$62:$E$90,3,FALSE)</f>
        <v>#N/A</v>
      </c>
      <c r="AB62" s="210" t="str">
        <f>IF(Бланк!$X62="","",Бланк!$X62)</f>
        <v/>
      </c>
      <c r="AC62" s="210" t="str">
        <f>IF(Бланк!$Y62="","",Бланк!$Y62)</f>
        <v/>
      </c>
      <c r="AD62" s="210" t="str">
        <f>IF(Бланк!$Z62="","",Бланк!$Z62)</f>
        <v/>
      </c>
      <c r="AE62" s="210" t="str">
        <f>IF(Бланк!$AA62="","",Бланк!$AA62)</f>
        <v/>
      </c>
      <c r="AF62" s="212"/>
      <c r="AG62" s="216"/>
      <c r="AH62" s="211">
        <f>IF(OR($C62=0,$C62=""),0,IF(AND($AB62="Матове",$AC62="Відкрита пора",$AA62=1,$AD62="Ламінат",OR($F62=4,$F62=6,$F62=8,$F62=10,$F62=16)),$AP62*Прайс!$G$17,IF(AND($AB62="Матове",$AC62="Відкрита пора",$AA62=2,$AD62="Ламінат",OR($F62=4,$F62=6,$F62=8,$F62=10,$F62=16)),$AP62*Прайс!$G$18,IF(AND($AB62="Матове",$AC62="Закрита пора",$AA62=1,$AD62="Ламінат",OR($F62=4,$F62=6,$F62=8,$F62=10,$F62=16)),$AP62*Прайс!$G$19,IF(AND($AB62="Матове",$AC62="Закрита пора",$AA62=2,$AD62="Ламінат",OR($F62=4,$F62=6,$F62=8,$F62=10,$F62=16)),$AP62*Прайс!$G$20,IF(AND($AB62="Глянець",$AC62="Закрита пора",$AA62=1,$AD62="Ламінат",OR($F62=4,$F62=6,$F62=8,$F62=10,$F62=16)),$AP62*Прайс!$G$21,IF(AND($AB62="Глянець",$AC62="Закрита пора",$AA62=2,$AD62="Ламінат",OR($F62=4,$F62=6,$F62=8,$F62=10,$F62=16)),$AP62*Прайс!$G$22,IF(AND($AB62="Матове",$AC62="Відкрита пора",$AA62=1,$AD62="Матове",$AE62="Відкрита пора",OR($F62=4,$F62=6,$F62=8,$F62=10,$F62=16)),$AP62*Прайс!$G$23,IF(AND($AB62="Матове",$AC62="Відкрита пора",$AA62=2,$AD62="Матове",$AE62="Відкрита пора",OR($F62=4,$F62=6,$F62=8,$F62=10,$F62=16)),$AP62*Прайс!$G$24,IF(AND($AB62="Матове",$AC62="Закрита пора",$AA62=1,$AD62="Матове",$AE62="Відкрита пора",OR($F62=4,$F62=6,$F62=8,$F62=10,$F62=16)),$AP62*Прайс!$G$25,IF(AND($AB62="Матове",$AC62="Закрита пора",$AA62=2,$AD62="Матове",$AE62="Відкрита пора",OR($F62=4,$F62=6,$F62=8,$F62=10,$F62=16)),$AP62*Прайс!$G$26,IF(AND($AB62="Глянець",$AC62="Закрита пора",$AA62=1,$AD62="Матове",$AE62="Відкрита пора",OR($F62=4,$F62=6,$F62=8,$F62=10,$F62=16)),$AP62*Прайс!$G$27,IF(AND($AB62="Глянець",$AC62="Закрита пора",$AA62=2,$AD62="Матове",$AE62="Відкрита пора",OR($F62=4,$F62=6,$F62=8,$F62=10,$F62=16)),$AP62*Прайс!$G$28,0)))))))))))))</f>
        <v>0</v>
      </c>
      <c r="AI62" s="211">
        <f>IF(OR($C62=0,$C62=""),0,IF(AND($AB62="Матове",$AC62="Відкрита пора",$AA62=1,$AD62="Ламінат",$F62=19),$AP62*Прайс!$I$17,IF(AND($AB62="Матове",$AC62="Відкрита пора",$AA62=2,$AD62="Ламінат",$F62=19),$AP62*Прайс!$I$18,IF(AND($AB62="Матове",$AC62="Закрита пора",$AA62=1,$AD62="Ламінат",$F62=19),$AP62*Прайс!$I$19,IF(AND($AB62="Матове",$AC62="Закрита пора",$AA62=2,$AD62="Ламінат",$F62=19),$AP62*Прайс!$I$20,IF(AND($AB62="Глянець",$AC62="Закрита пора",$AA62=1,$AD62="Ламінат",$F62=19),$AP62*Прайс!$I$21,IF(AND($AB62="Глянець",$AC62="Закрита пора",$AA62=2,$AD62="Ламінат",$F62=19),$AP62*Прайс!$I$22,IF(AND($AB62="Матове",$AC62="Відкрита пора",$AA62=1,$AD62="Матове",$AE62="Відкрита пора",$F62=19),$AP62*Прайс!$I$23,IF(AND($AB62="Матове",$AC62="Відкрита пора",$AA62=2,$AD62="Матове",$AE62="Відкрита пора",$F62=19),$AP62*Прайс!$I$24,IF(AND($AB62="Матове",$AC62="Закрита пора",$AA62=1,$AD62="Матове",$AE62="Відкрита пора",$F62=19),$AP62*Прайс!$I$25,IF(AND($AB62="Матове",$AC62="Закрита пора",$AA62=2,$AD62="Матове",$AE62="Відкрита пора",$F62=19),$AP62*Прайс!$I$26,IF(AND($AB62="Глянець",$AC62="Закрита пора",$AA62=1,$AD62="Матове",$AE62="Відкрита пора",$F62=19),$AP62*Прайс!$I$27,IF(AND($AB62="Глянець",$AC62="Закрита пора",$AA62=2,$AD62="Матове",$AE62="Відкрита пора",$F62=19),$AP62*Прайс!$I$28,0)))))))))))))</f>
        <v>0</v>
      </c>
      <c r="AJ62" s="210" t="str">
        <f>IF(Бланк!$AD62="","",Бланк!$AD62*E62)</f>
        <v/>
      </c>
      <c r="AK62" s="213" t="str">
        <f>IF(OR($AJ62=0,$AJ62=""),"",$AJ62*Прайс!$J$47)</f>
        <v/>
      </c>
      <c r="AL62" s="217"/>
      <c r="AM62" s="222"/>
      <c r="AN62" s="222"/>
      <c r="AO62" s="218"/>
      <c r="AP62" s="107">
        <f t="shared" si="1"/>
        <v>0</v>
      </c>
      <c r="AQ62" s="207"/>
    </row>
    <row r="63" spans="2:43" s="221" customFormat="1" ht="20.25" x14ac:dyDescent="0.3">
      <c r="B63" s="219">
        <v>43</v>
      </c>
      <c r="C63" s="209">
        <f>Бланк!C63</f>
        <v>0</v>
      </c>
      <c r="D63" s="209">
        <f>Бланк!D63</f>
        <v>0</v>
      </c>
      <c r="E63" s="209">
        <f>Бланк!E63</f>
        <v>0</v>
      </c>
      <c r="F63" s="209">
        <f>Бланк!F63</f>
        <v>0</v>
      </c>
      <c r="G63" s="209"/>
      <c r="H63" s="212"/>
      <c r="I63" s="210" t="str">
        <f>IF(Бланк!$I63="","",Бланк!$I63)</f>
        <v/>
      </c>
      <c r="J63" s="211" t="str">
        <f>IF(OR($C63="",$C63=0),"",IF($I63="Пряма з чвертю",(Прайс!$J$42+Прайс!$J$44)*Просчёт!$E63,IF($I63="Пряма без чверті",Просчёт!$E63*Прайс!$J$42,"")))</f>
        <v/>
      </c>
      <c r="K63" s="210" t="str">
        <f>IF(Бланк!$K63="","",Бланк!$K63)</f>
        <v/>
      </c>
      <c r="L63" s="212" t="str">
        <f>IF(Бланк!$J63="","",Бланк!$J63/1000)</f>
        <v/>
      </c>
      <c r="M63" s="213" t="str">
        <f t="shared" si="2"/>
        <v/>
      </c>
      <c r="N63" s="213" t="str">
        <f>IF($K63="","",IF(OR($K63="J № 1",$K63="J № 2",$K63="J № 2L",$K63="J № 2R",$K63="AJ № 2",$K63="AJ № 2L",$K63="AJ № 2R",$K63="U",$K63="V"),$L63*$E63*Прайс!$J$45,IF(OR($K63="AJ № 3R",$K63="AJ № 4R",$K63="AJ № 5R",$K63="AJ № 3L",$K63="AJ № 4L",$K63="AJ № 5L",$K63="AJ № 3",$K63="AJ № 4",$K63="AJ № 5",$K63="J № 3",$K63="J № 4",$K63="J № 5",$K63="J № 6",$K63="J № 7",$K63="L",$K63="AL"),Прайс!$J$45*$E63,IF(OR($K63="J № 3L",$K63="J № 3R",$K63="J № 4L",$K63="J № 4R",$K63="J № 5L",$K63="J № 5R"),$L63/2*Прайс!$J$45*$E63,IF($K63="45 град.",$L63*Прайс!$J$50*$E63,0)))))</f>
        <v/>
      </c>
      <c r="O63" s="210" t="str">
        <f>IF(Бланк!$L63="","",Бланк!$L63)</f>
        <v/>
      </c>
      <c r="P63" s="210" t="str">
        <f>IF(Бланк!$M63="","",Бланк!$M63)</f>
        <v/>
      </c>
      <c r="Q63" s="214"/>
      <c r="R63" s="215"/>
      <c r="S63" s="210" t="str">
        <f>IF(Бланк!$P63="","",Бланк!$P63)</f>
        <v/>
      </c>
      <c r="T63" s="209" t="str">
        <f>IF($S63="","",VLOOKUP($S63,Лист1!$S$5:$T$32,2,FALSE))</f>
        <v/>
      </c>
      <c r="U63" s="215"/>
      <c r="V63" s="212"/>
      <c r="W63" s="212"/>
      <c r="X63" s="212"/>
      <c r="Y63" s="212"/>
      <c r="Z63" s="209"/>
      <c r="AA63" s="209" t="e">
        <f>VLOOKUP($S63,Прайс!$C$62:$E$90,3,FALSE)</f>
        <v>#N/A</v>
      </c>
      <c r="AB63" s="210" t="str">
        <f>IF(Бланк!$X63="","",Бланк!$X63)</f>
        <v/>
      </c>
      <c r="AC63" s="210" t="str">
        <f>IF(Бланк!$Y63="","",Бланк!$Y63)</f>
        <v/>
      </c>
      <c r="AD63" s="210" t="str">
        <f>IF(Бланк!$Z63="","",Бланк!$Z63)</f>
        <v/>
      </c>
      <c r="AE63" s="210" t="str">
        <f>IF(Бланк!$AA63="","",Бланк!$AA63)</f>
        <v/>
      </c>
      <c r="AF63" s="212"/>
      <c r="AG63" s="216"/>
      <c r="AH63" s="211">
        <f>IF(OR($C63=0,$C63=""),0,IF(AND($AB63="Матове",$AC63="Відкрита пора",$AA63=1,$AD63="Ламінат",OR($F63=4,$F63=6,$F63=8,$F63=10,$F63=16)),$AP63*Прайс!$G$17,IF(AND($AB63="Матове",$AC63="Відкрита пора",$AA63=2,$AD63="Ламінат",OR($F63=4,$F63=6,$F63=8,$F63=10,$F63=16)),$AP63*Прайс!$G$18,IF(AND($AB63="Матове",$AC63="Закрита пора",$AA63=1,$AD63="Ламінат",OR($F63=4,$F63=6,$F63=8,$F63=10,$F63=16)),$AP63*Прайс!$G$19,IF(AND($AB63="Матове",$AC63="Закрита пора",$AA63=2,$AD63="Ламінат",OR($F63=4,$F63=6,$F63=8,$F63=10,$F63=16)),$AP63*Прайс!$G$20,IF(AND($AB63="Глянець",$AC63="Закрита пора",$AA63=1,$AD63="Ламінат",OR($F63=4,$F63=6,$F63=8,$F63=10,$F63=16)),$AP63*Прайс!$G$21,IF(AND($AB63="Глянець",$AC63="Закрита пора",$AA63=2,$AD63="Ламінат",OR($F63=4,$F63=6,$F63=8,$F63=10,$F63=16)),$AP63*Прайс!$G$22,IF(AND($AB63="Матове",$AC63="Відкрита пора",$AA63=1,$AD63="Матове",$AE63="Відкрита пора",OR($F63=4,$F63=6,$F63=8,$F63=10,$F63=16)),$AP63*Прайс!$G$23,IF(AND($AB63="Матове",$AC63="Відкрита пора",$AA63=2,$AD63="Матове",$AE63="Відкрита пора",OR($F63=4,$F63=6,$F63=8,$F63=10,$F63=16)),$AP63*Прайс!$G$24,IF(AND($AB63="Матове",$AC63="Закрита пора",$AA63=1,$AD63="Матове",$AE63="Відкрита пора",OR($F63=4,$F63=6,$F63=8,$F63=10,$F63=16)),$AP63*Прайс!$G$25,IF(AND($AB63="Матове",$AC63="Закрита пора",$AA63=2,$AD63="Матове",$AE63="Відкрита пора",OR($F63=4,$F63=6,$F63=8,$F63=10,$F63=16)),$AP63*Прайс!$G$26,IF(AND($AB63="Глянець",$AC63="Закрита пора",$AA63=1,$AD63="Матове",$AE63="Відкрита пора",OR($F63=4,$F63=6,$F63=8,$F63=10,$F63=16)),$AP63*Прайс!$G$27,IF(AND($AB63="Глянець",$AC63="Закрита пора",$AA63=2,$AD63="Матове",$AE63="Відкрита пора",OR($F63=4,$F63=6,$F63=8,$F63=10,$F63=16)),$AP63*Прайс!$G$28,0)))))))))))))</f>
        <v>0</v>
      </c>
      <c r="AI63" s="211">
        <f>IF(OR($C63=0,$C63=""),0,IF(AND($AB63="Матове",$AC63="Відкрита пора",$AA63=1,$AD63="Ламінат",$F63=19),$AP63*Прайс!$I$17,IF(AND($AB63="Матове",$AC63="Відкрита пора",$AA63=2,$AD63="Ламінат",$F63=19),$AP63*Прайс!$I$18,IF(AND($AB63="Матове",$AC63="Закрита пора",$AA63=1,$AD63="Ламінат",$F63=19),$AP63*Прайс!$I$19,IF(AND($AB63="Матове",$AC63="Закрита пора",$AA63=2,$AD63="Ламінат",$F63=19),$AP63*Прайс!$I$20,IF(AND($AB63="Глянець",$AC63="Закрита пора",$AA63=1,$AD63="Ламінат",$F63=19),$AP63*Прайс!$I$21,IF(AND($AB63="Глянець",$AC63="Закрита пора",$AA63=2,$AD63="Ламінат",$F63=19),$AP63*Прайс!$I$22,IF(AND($AB63="Матове",$AC63="Відкрита пора",$AA63=1,$AD63="Матове",$AE63="Відкрита пора",$F63=19),$AP63*Прайс!$I$23,IF(AND($AB63="Матове",$AC63="Відкрита пора",$AA63=2,$AD63="Матове",$AE63="Відкрита пора",$F63=19),$AP63*Прайс!$I$24,IF(AND($AB63="Матове",$AC63="Закрита пора",$AA63=1,$AD63="Матове",$AE63="Відкрита пора",$F63=19),$AP63*Прайс!$I$25,IF(AND($AB63="Матове",$AC63="Закрита пора",$AA63=2,$AD63="Матове",$AE63="Відкрита пора",$F63=19),$AP63*Прайс!$I$26,IF(AND($AB63="Глянець",$AC63="Закрита пора",$AA63=1,$AD63="Матове",$AE63="Відкрита пора",$F63=19),$AP63*Прайс!$I$27,IF(AND($AB63="Глянець",$AC63="Закрита пора",$AA63=2,$AD63="Матове",$AE63="Відкрита пора",$F63=19),$AP63*Прайс!$I$28,0)))))))))))))</f>
        <v>0</v>
      </c>
      <c r="AJ63" s="210" t="str">
        <f>IF(Бланк!$AD63="","",Бланк!$AD63*E63)</f>
        <v/>
      </c>
      <c r="AK63" s="213" t="str">
        <f>IF(OR($AJ63=0,$AJ63=""),"",$AJ63*Прайс!$J$47)</f>
        <v/>
      </c>
      <c r="AL63" s="217"/>
      <c r="AM63" s="222"/>
      <c r="AN63" s="222"/>
      <c r="AO63" s="218"/>
      <c r="AP63" s="107">
        <f t="shared" si="1"/>
        <v>0</v>
      </c>
      <c r="AQ63" s="207"/>
    </row>
    <row r="64" spans="2:43" s="221" customFormat="1" ht="20.25" x14ac:dyDescent="0.3">
      <c r="B64" s="219">
        <v>44</v>
      </c>
      <c r="C64" s="209">
        <f>Бланк!C64</f>
        <v>0</v>
      </c>
      <c r="D64" s="209">
        <f>Бланк!D64</f>
        <v>0</v>
      </c>
      <c r="E64" s="209">
        <f>Бланк!E64</f>
        <v>0</v>
      </c>
      <c r="F64" s="209">
        <f>Бланк!F64</f>
        <v>0</v>
      </c>
      <c r="G64" s="209"/>
      <c r="H64" s="212"/>
      <c r="I64" s="210" t="str">
        <f>IF(Бланк!$I64="","",Бланк!$I64)</f>
        <v/>
      </c>
      <c r="J64" s="211" t="str">
        <f>IF(OR($C64="",$C64=0),"",IF($I64="Пряма з чвертю",(Прайс!$J$42+Прайс!$J$44)*Просчёт!$E64,IF($I64="Пряма без чверті",Просчёт!$E64*Прайс!$J$42,"")))</f>
        <v/>
      </c>
      <c r="K64" s="210" t="str">
        <f>IF(Бланк!$K64="","",Бланк!$K64)</f>
        <v/>
      </c>
      <c r="L64" s="212" t="str">
        <f>IF(Бланк!$J64="","",Бланк!$J64/1000)</f>
        <v/>
      </c>
      <c r="M64" s="213" t="str">
        <f t="shared" si="2"/>
        <v/>
      </c>
      <c r="N64" s="213" t="str">
        <f>IF($K64="","",IF(OR($K64="J № 1",$K64="J № 2",$K64="J № 2L",$K64="J № 2R",$K64="AJ № 2",$K64="AJ № 2L",$K64="AJ № 2R",$K64="U",$K64="V"),$L64*$E64*Прайс!$J$45,IF(OR($K64="AJ № 3R",$K64="AJ № 4R",$K64="AJ № 5R",$K64="AJ № 3L",$K64="AJ № 4L",$K64="AJ № 5L",$K64="AJ № 3",$K64="AJ № 4",$K64="AJ № 5",$K64="J № 3",$K64="J № 4",$K64="J № 5",$K64="J № 6",$K64="J № 7",$K64="L",$K64="AL"),Прайс!$J$45*$E64,IF(OR($K64="J № 3L",$K64="J № 3R",$K64="J № 4L",$K64="J № 4R",$K64="J № 5L",$K64="J № 5R"),$L64/2*Прайс!$J$45*$E64,IF($K64="45 град.",$L64*Прайс!$J$50*$E64,0)))))</f>
        <v/>
      </c>
      <c r="O64" s="210" t="str">
        <f>IF(Бланк!$L64="","",Бланк!$L64)</f>
        <v/>
      </c>
      <c r="P64" s="210" t="str">
        <f>IF(Бланк!$M64="","",Бланк!$M64)</f>
        <v/>
      </c>
      <c r="Q64" s="214"/>
      <c r="R64" s="215"/>
      <c r="S64" s="210" t="str">
        <f>IF(Бланк!$P64="","",Бланк!$P64)</f>
        <v/>
      </c>
      <c r="T64" s="209" t="str">
        <f>IF($S64="","",VLOOKUP($S64,Лист1!$S$5:$T$32,2,FALSE))</f>
        <v/>
      </c>
      <c r="U64" s="215"/>
      <c r="V64" s="212"/>
      <c r="W64" s="212"/>
      <c r="X64" s="212"/>
      <c r="Y64" s="212"/>
      <c r="Z64" s="209"/>
      <c r="AA64" s="209" t="e">
        <f>VLOOKUP($S64,Прайс!$C$62:$E$90,3,FALSE)</f>
        <v>#N/A</v>
      </c>
      <c r="AB64" s="210" t="str">
        <f>IF(Бланк!$X64="","",Бланк!$X64)</f>
        <v/>
      </c>
      <c r="AC64" s="210" t="str">
        <f>IF(Бланк!$Y64="","",Бланк!$Y64)</f>
        <v/>
      </c>
      <c r="AD64" s="210" t="str">
        <f>IF(Бланк!$Z64="","",Бланк!$Z64)</f>
        <v/>
      </c>
      <c r="AE64" s="210" t="str">
        <f>IF(Бланк!$AA64="","",Бланк!$AA64)</f>
        <v/>
      </c>
      <c r="AF64" s="212"/>
      <c r="AG64" s="216"/>
      <c r="AH64" s="211">
        <f>IF(OR($C64=0,$C64=""),0,IF(AND($AB64="Матове",$AC64="Відкрита пора",$AA64=1,$AD64="Ламінат",OR($F64=4,$F64=6,$F64=8,$F64=10,$F64=16)),$AP64*Прайс!$G$17,IF(AND($AB64="Матове",$AC64="Відкрита пора",$AA64=2,$AD64="Ламінат",OR($F64=4,$F64=6,$F64=8,$F64=10,$F64=16)),$AP64*Прайс!$G$18,IF(AND($AB64="Матове",$AC64="Закрита пора",$AA64=1,$AD64="Ламінат",OR($F64=4,$F64=6,$F64=8,$F64=10,$F64=16)),$AP64*Прайс!$G$19,IF(AND($AB64="Матове",$AC64="Закрита пора",$AA64=2,$AD64="Ламінат",OR($F64=4,$F64=6,$F64=8,$F64=10,$F64=16)),$AP64*Прайс!$G$20,IF(AND($AB64="Глянець",$AC64="Закрита пора",$AA64=1,$AD64="Ламінат",OR($F64=4,$F64=6,$F64=8,$F64=10,$F64=16)),$AP64*Прайс!$G$21,IF(AND($AB64="Глянець",$AC64="Закрита пора",$AA64=2,$AD64="Ламінат",OR($F64=4,$F64=6,$F64=8,$F64=10,$F64=16)),$AP64*Прайс!$G$22,IF(AND($AB64="Матове",$AC64="Відкрита пора",$AA64=1,$AD64="Матове",$AE64="Відкрита пора",OR($F64=4,$F64=6,$F64=8,$F64=10,$F64=16)),$AP64*Прайс!$G$23,IF(AND($AB64="Матове",$AC64="Відкрита пора",$AA64=2,$AD64="Матове",$AE64="Відкрита пора",OR($F64=4,$F64=6,$F64=8,$F64=10,$F64=16)),$AP64*Прайс!$G$24,IF(AND($AB64="Матове",$AC64="Закрита пора",$AA64=1,$AD64="Матове",$AE64="Відкрита пора",OR($F64=4,$F64=6,$F64=8,$F64=10,$F64=16)),$AP64*Прайс!$G$25,IF(AND($AB64="Матове",$AC64="Закрита пора",$AA64=2,$AD64="Матове",$AE64="Відкрита пора",OR($F64=4,$F64=6,$F64=8,$F64=10,$F64=16)),$AP64*Прайс!$G$26,IF(AND($AB64="Глянець",$AC64="Закрита пора",$AA64=1,$AD64="Матове",$AE64="Відкрита пора",OR($F64=4,$F64=6,$F64=8,$F64=10,$F64=16)),$AP64*Прайс!$G$27,IF(AND($AB64="Глянець",$AC64="Закрита пора",$AA64=2,$AD64="Матове",$AE64="Відкрита пора",OR($F64=4,$F64=6,$F64=8,$F64=10,$F64=16)),$AP64*Прайс!$G$28,0)))))))))))))</f>
        <v>0</v>
      </c>
      <c r="AI64" s="211">
        <f>IF(OR($C64=0,$C64=""),0,IF(AND($AB64="Матове",$AC64="Відкрита пора",$AA64=1,$AD64="Ламінат",$F64=19),$AP64*Прайс!$I$17,IF(AND($AB64="Матове",$AC64="Відкрита пора",$AA64=2,$AD64="Ламінат",$F64=19),$AP64*Прайс!$I$18,IF(AND($AB64="Матове",$AC64="Закрита пора",$AA64=1,$AD64="Ламінат",$F64=19),$AP64*Прайс!$I$19,IF(AND($AB64="Матове",$AC64="Закрита пора",$AA64=2,$AD64="Ламінат",$F64=19),$AP64*Прайс!$I$20,IF(AND($AB64="Глянець",$AC64="Закрита пора",$AA64=1,$AD64="Ламінат",$F64=19),$AP64*Прайс!$I$21,IF(AND($AB64="Глянець",$AC64="Закрита пора",$AA64=2,$AD64="Ламінат",$F64=19),$AP64*Прайс!$I$22,IF(AND($AB64="Матове",$AC64="Відкрита пора",$AA64=1,$AD64="Матове",$AE64="Відкрита пора",$F64=19),$AP64*Прайс!$I$23,IF(AND($AB64="Матове",$AC64="Відкрита пора",$AA64=2,$AD64="Матове",$AE64="Відкрита пора",$F64=19),$AP64*Прайс!$I$24,IF(AND($AB64="Матове",$AC64="Закрита пора",$AA64=1,$AD64="Матове",$AE64="Відкрита пора",$F64=19),$AP64*Прайс!$I$25,IF(AND($AB64="Матове",$AC64="Закрита пора",$AA64=2,$AD64="Матове",$AE64="Відкрита пора",$F64=19),$AP64*Прайс!$I$26,IF(AND($AB64="Глянець",$AC64="Закрита пора",$AA64=1,$AD64="Матове",$AE64="Відкрита пора",$F64=19),$AP64*Прайс!$I$27,IF(AND($AB64="Глянець",$AC64="Закрита пора",$AA64=2,$AD64="Матове",$AE64="Відкрита пора",$F64=19),$AP64*Прайс!$I$28,0)))))))))))))</f>
        <v>0</v>
      </c>
      <c r="AJ64" s="210" t="str">
        <f>IF(Бланк!$AD64="","",Бланк!$AD64*E64)</f>
        <v/>
      </c>
      <c r="AK64" s="213" t="str">
        <f>IF(OR($AJ64=0,$AJ64=""),"",$AJ64*Прайс!$J$47)</f>
        <v/>
      </c>
      <c r="AL64" s="217"/>
      <c r="AM64" s="222"/>
      <c r="AN64" s="222"/>
      <c r="AO64" s="218"/>
      <c r="AP64" s="107">
        <f t="shared" si="1"/>
        <v>0</v>
      </c>
      <c r="AQ64" s="207"/>
    </row>
    <row r="65" spans="2:43" s="221" customFormat="1" ht="20.25" x14ac:dyDescent="0.3">
      <c r="B65" s="219">
        <v>45</v>
      </c>
      <c r="C65" s="209">
        <f>Бланк!C65</f>
        <v>0</v>
      </c>
      <c r="D65" s="209">
        <f>Бланк!D65</f>
        <v>0</v>
      </c>
      <c r="E65" s="209">
        <f>Бланк!E65</f>
        <v>0</v>
      </c>
      <c r="F65" s="209">
        <f>Бланк!F65</f>
        <v>0</v>
      </c>
      <c r="G65" s="209"/>
      <c r="H65" s="212"/>
      <c r="I65" s="210" t="str">
        <f>IF(Бланк!$I65="","",Бланк!$I65)</f>
        <v/>
      </c>
      <c r="J65" s="211" t="str">
        <f>IF(OR($C65="",$C65=0),"",IF($I65="Пряма з чвертю",(Прайс!$J$42+Прайс!$J$44)*Просчёт!$E65,IF($I65="Пряма без чверті",Просчёт!$E65*Прайс!$J$42,"")))</f>
        <v/>
      </c>
      <c r="K65" s="210" t="str">
        <f>IF(Бланк!$K65="","",Бланк!$K65)</f>
        <v/>
      </c>
      <c r="L65" s="212" t="str">
        <f>IF(Бланк!$J65="","",Бланк!$J65/1000)</f>
        <v/>
      </c>
      <c r="M65" s="213" t="str">
        <f t="shared" si="2"/>
        <v/>
      </c>
      <c r="N65" s="213" t="str">
        <f>IF($K65="","",IF(OR($K65="J № 1",$K65="J № 2",$K65="J № 2L",$K65="J № 2R",$K65="AJ № 2",$K65="AJ № 2L",$K65="AJ № 2R",$K65="U",$K65="V"),$L65*$E65*Прайс!$J$45,IF(OR($K65="AJ № 3R",$K65="AJ № 4R",$K65="AJ № 5R",$K65="AJ № 3L",$K65="AJ № 4L",$K65="AJ № 5L",$K65="AJ № 3",$K65="AJ № 4",$K65="AJ № 5",$K65="J № 3",$K65="J № 4",$K65="J № 5",$K65="J № 6",$K65="J № 7",$K65="L",$K65="AL"),Прайс!$J$45*$E65,IF(OR($K65="J № 3L",$K65="J № 3R",$K65="J № 4L",$K65="J № 4R",$K65="J № 5L",$K65="J № 5R"),$L65/2*Прайс!$J$45*$E65,IF($K65="45 град.",$L65*Прайс!$J$50*$E65,0)))))</f>
        <v/>
      </c>
      <c r="O65" s="210" t="str">
        <f>IF(Бланк!$L65="","",Бланк!$L65)</f>
        <v/>
      </c>
      <c r="P65" s="210" t="str">
        <f>IF(Бланк!$M65="","",Бланк!$M65)</f>
        <v/>
      </c>
      <c r="Q65" s="214"/>
      <c r="R65" s="215"/>
      <c r="S65" s="210" t="str">
        <f>IF(Бланк!$P65="","",Бланк!$P65)</f>
        <v/>
      </c>
      <c r="T65" s="209" t="str">
        <f>IF($S65="","",VLOOKUP($S65,Лист1!$S$5:$T$32,2,FALSE))</f>
        <v/>
      </c>
      <c r="U65" s="215"/>
      <c r="V65" s="212"/>
      <c r="W65" s="212"/>
      <c r="X65" s="212"/>
      <c r="Y65" s="212"/>
      <c r="Z65" s="209"/>
      <c r="AA65" s="209" t="e">
        <f>VLOOKUP($S65,Прайс!$C$62:$E$90,3,FALSE)</f>
        <v>#N/A</v>
      </c>
      <c r="AB65" s="210" t="str">
        <f>IF(Бланк!$X65="","",Бланк!$X65)</f>
        <v/>
      </c>
      <c r="AC65" s="210" t="str">
        <f>IF(Бланк!$Y65="","",Бланк!$Y65)</f>
        <v/>
      </c>
      <c r="AD65" s="210" t="str">
        <f>IF(Бланк!$Z65="","",Бланк!$Z65)</f>
        <v/>
      </c>
      <c r="AE65" s="210" t="str">
        <f>IF(Бланк!$AA65="","",Бланк!$AA65)</f>
        <v/>
      </c>
      <c r="AF65" s="212"/>
      <c r="AG65" s="216"/>
      <c r="AH65" s="211">
        <f>IF(OR($C65=0,$C65=""),0,IF(AND($AB65="Матове",$AC65="Відкрита пора",$AA65=1,$AD65="Ламінат",OR($F65=4,$F65=6,$F65=8,$F65=10,$F65=16)),$AP65*Прайс!$G$17,IF(AND($AB65="Матове",$AC65="Відкрита пора",$AA65=2,$AD65="Ламінат",OR($F65=4,$F65=6,$F65=8,$F65=10,$F65=16)),$AP65*Прайс!$G$18,IF(AND($AB65="Матове",$AC65="Закрита пора",$AA65=1,$AD65="Ламінат",OR($F65=4,$F65=6,$F65=8,$F65=10,$F65=16)),$AP65*Прайс!$G$19,IF(AND($AB65="Матове",$AC65="Закрита пора",$AA65=2,$AD65="Ламінат",OR($F65=4,$F65=6,$F65=8,$F65=10,$F65=16)),$AP65*Прайс!$G$20,IF(AND($AB65="Глянець",$AC65="Закрита пора",$AA65=1,$AD65="Ламінат",OR($F65=4,$F65=6,$F65=8,$F65=10,$F65=16)),$AP65*Прайс!$G$21,IF(AND($AB65="Глянець",$AC65="Закрита пора",$AA65=2,$AD65="Ламінат",OR($F65=4,$F65=6,$F65=8,$F65=10,$F65=16)),$AP65*Прайс!$G$22,IF(AND($AB65="Матове",$AC65="Відкрита пора",$AA65=1,$AD65="Матове",$AE65="Відкрита пора",OR($F65=4,$F65=6,$F65=8,$F65=10,$F65=16)),$AP65*Прайс!$G$23,IF(AND($AB65="Матове",$AC65="Відкрита пора",$AA65=2,$AD65="Матове",$AE65="Відкрита пора",OR($F65=4,$F65=6,$F65=8,$F65=10,$F65=16)),$AP65*Прайс!$G$24,IF(AND($AB65="Матове",$AC65="Закрита пора",$AA65=1,$AD65="Матове",$AE65="Відкрита пора",OR($F65=4,$F65=6,$F65=8,$F65=10,$F65=16)),$AP65*Прайс!$G$25,IF(AND($AB65="Матове",$AC65="Закрита пора",$AA65=2,$AD65="Матове",$AE65="Відкрита пора",OR($F65=4,$F65=6,$F65=8,$F65=10,$F65=16)),$AP65*Прайс!$G$26,IF(AND($AB65="Глянець",$AC65="Закрита пора",$AA65=1,$AD65="Матове",$AE65="Відкрита пора",OR($F65=4,$F65=6,$F65=8,$F65=10,$F65=16)),$AP65*Прайс!$G$27,IF(AND($AB65="Глянець",$AC65="Закрита пора",$AA65=2,$AD65="Матове",$AE65="Відкрита пора",OR($F65=4,$F65=6,$F65=8,$F65=10,$F65=16)),$AP65*Прайс!$G$28,0)))))))))))))</f>
        <v>0</v>
      </c>
      <c r="AI65" s="211">
        <f>IF(OR($C65=0,$C65=""),0,IF(AND($AB65="Матове",$AC65="Відкрита пора",$AA65=1,$AD65="Ламінат",$F65=19),$AP65*Прайс!$I$17,IF(AND($AB65="Матове",$AC65="Відкрита пора",$AA65=2,$AD65="Ламінат",$F65=19),$AP65*Прайс!$I$18,IF(AND($AB65="Матове",$AC65="Закрита пора",$AA65=1,$AD65="Ламінат",$F65=19),$AP65*Прайс!$I$19,IF(AND($AB65="Матове",$AC65="Закрита пора",$AA65=2,$AD65="Ламінат",$F65=19),$AP65*Прайс!$I$20,IF(AND($AB65="Глянець",$AC65="Закрита пора",$AA65=1,$AD65="Ламінат",$F65=19),$AP65*Прайс!$I$21,IF(AND($AB65="Глянець",$AC65="Закрита пора",$AA65=2,$AD65="Ламінат",$F65=19),$AP65*Прайс!$I$22,IF(AND($AB65="Матове",$AC65="Відкрита пора",$AA65=1,$AD65="Матове",$AE65="Відкрита пора",$F65=19),$AP65*Прайс!$I$23,IF(AND($AB65="Матове",$AC65="Відкрита пора",$AA65=2,$AD65="Матове",$AE65="Відкрита пора",$F65=19),$AP65*Прайс!$I$24,IF(AND($AB65="Матове",$AC65="Закрита пора",$AA65=1,$AD65="Матове",$AE65="Відкрита пора",$F65=19),$AP65*Прайс!$I$25,IF(AND($AB65="Матове",$AC65="Закрита пора",$AA65=2,$AD65="Матове",$AE65="Відкрита пора",$F65=19),$AP65*Прайс!$I$26,IF(AND($AB65="Глянець",$AC65="Закрита пора",$AA65=1,$AD65="Матове",$AE65="Відкрита пора",$F65=19),$AP65*Прайс!$I$27,IF(AND($AB65="Глянець",$AC65="Закрита пора",$AA65=2,$AD65="Матове",$AE65="Відкрита пора",$F65=19),$AP65*Прайс!$I$28,0)))))))))))))</f>
        <v>0</v>
      </c>
      <c r="AJ65" s="210" t="str">
        <f>IF(Бланк!$AD65="","",Бланк!$AD65*E65)</f>
        <v/>
      </c>
      <c r="AK65" s="213" t="str">
        <f>IF(OR($AJ65=0,$AJ65=""),"",$AJ65*Прайс!$J$47)</f>
        <v/>
      </c>
      <c r="AL65" s="217"/>
      <c r="AM65" s="222"/>
      <c r="AN65" s="222"/>
      <c r="AO65" s="218"/>
      <c r="AP65" s="107">
        <f t="shared" si="1"/>
        <v>0</v>
      </c>
      <c r="AQ65" s="207"/>
    </row>
    <row r="66" spans="2:43" ht="15.75" x14ac:dyDescent="0.25">
      <c r="B66" s="223" t="s">
        <v>8</v>
      </c>
      <c r="C66" s="112">
        <f>Бланк!C66</f>
        <v>0</v>
      </c>
      <c r="D66" s="112">
        <f>Бланк!D66</f>
        <v>0</v>
      </c>
      <c r="E66" s="112">
        <f>Бланк!E66</f>
        <v>0</v>
      </c>
      <c r="F66" s="112">
        <f>Бланк!F66</f>
        <v>0</v>
      </c>
      <c r="G66" s="112">
        <f>Бланк!G66</f>
        <v>0</v>
      </c>
      <c r="H66" s="112">
        <f>Бланк!H66</f>
        <v>0</v>
      </c>
      <c r="I66" s="112">
        <f>Бланк!I66</f>
        <v>0</v>
      </c>
      <c r="J66" s="112">
        <f>Бланк!J66</f>
        <v>0</v>
      </c>
      <c r="K66" s="112">
        <f>Бланк!K66</f>
        <v>0</v>
      </c>
      <c r="L66" s="112">
        <f>Бланк!L66</f>
        <v>0</v>
      </c>
      <c r="M66" s="112">
        <f>Бланк!M66</f>
        <v>0</v>
      </c>
      <c r="N66" s="112">
        <f>Бланк!N66</f>
        <v>0</v>
      </c>
      <c r="O66" s="112">
        <f>Бланк!O66</f>
        <v>0</v>
      </c>
      <c r="P66" s="112">
        <f>Бланк!P66</f>
        <v>0</v>
      </c>
      <c r="Q66" s="112">
        <f>Бланк!Q66</f>
        <v>0</v>
      </c>
      <c r="R66" s="112">
        <f>Бланк!R66</f>
        <v>0</v>
      </c>
      <c r="S66" s="112">
        <f>Бланк!S66</f>
        <v>0</v>
      </c>
      <c r="T66" s="112">
        <f>Бланк!T66</f>
        <v>0</v>
      </c>
      <c r="U66" s="112">
        <f>Бланк!U66</f>
        <v>0</v>
      </c>
      <c r="V66" s="112">
        <f>Бланк!V66</f>
        <v>0</v>
      </c>
      <c r="W66" s="112">
        <f>Бланк!W66</f>
        <v>0</v>
      </c>
      <c r="X66" s="112">
        <f>Бланк!X66</f>
        <v>0</v>
      </c>
      <c r="Y66" s="112">
        <f>Бланк!Y66</f>
        <v>0</v>
      </c>
      <c r="Z66" s="112">
        <f>Бланк!Z66</f>
        <v>0</v>
      </c>
      <c r="AA66" s="112">
        <f>Бланк!AA66</f>
        <v>0</v>
      </c>
      <c r="AB66" s="112">
        <f>Бланк!AB66</f>
        <v>0</v>
      </c>
      <c r="AC66" s="112">
        <f>Бланк!AC66</f>
        <v>0</v>
      </c>
      <c r="AD66" s="112">
        <f>Бланк!AD66</f>
        <v>0</v>
      </c>
      <c r="AE66" s="112">
        <f>Бланк!AE66</f>
        <v>0</v>
      </c>
      <c r="AF66" s="112">
        <f>Бланк!AF66</f>
        <v>0</v>
      </c>
      <c r="AG66" s="112">
        <f>Бланк!AG66</f>
        <v>0</v>
      </c>
      <c r="AH66" s="112"/>
      <c r="AI66" s="112"/>
      <c r="AJ66" s="112">
        <f>SUM(AJ21:AJ65)</f>
        <v>0</v>
      </c>
      <c r="AK66" s="112"/>
      <c r="AL66" s="112">
        <f>Бланк!AI66</f>
        <v>0</v>
      </c>
      <c r="AM66" s="112">
        <f>Бланк!AJ66</f>
        <v>0</v>
      </c>
      <c r="AN66" s="112">
        <f>Бланк!AK66</f>
        <v>0</v>
      </c>
      <c r="AO66" s="112">
        <f>Бланк!AL66</f>
        <v>0</v>
      </c>
      <c r="AP66" s="108">
        <f>SUM(AP21:AP65)</f>
        <v>0</v>
      </c>
    </row>
    <row r="67" spans="2:43" s="221" customFormat="1" ht="20.25" x14ac:dyDescent="0.3">
      <c r="B67" s="224"/>
      <c r="C67" s="225"/>
      <c r="D67" s="225"/>
      <c r="E67" s="225"/>
      <c r="F67" s="225"/>
      <c r="G67" s="225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7"/>
      <c r="AH67" s="227"/>
      <c r="AI67" s="227"/>
      <c r="AJ67" s="227"/>
      <c r="AK67" s="227"/>
      <c r="AL67" s="227"/>
      <c r="AM67" s="227"/>
      <c r="AN67" s="227"/>
      <c r="AO67" s="225"/>
      <c r="AP67" s="128">
        <f>AP66</f>
        <v>0</v>
      </c>
    </row>
    <row r="68" spans="2:43" s="221" customFormat="1" ht="20.25" x14ac:dyDescent="0.3">
      <c r="B68" s="227"/>
      <c r="C68" s="225"/>
      <c r="D68" s="227"/>
      <c r="E68" s="226"/>
      <c r="F68" s="226"/>
      <c r="G68" s="226"/>
      <c r="H68" s="226"/>
      <c r="I68" s="228" t="s">
        <v>105</v>
      </c>
      <c r="J68" s="228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5"/>
      <c r="AH68" s="225"/>
      <c r="AI68" s="225"/>
      <c r="AJ68" s="225"/>
      <c r="AK68" s="225"/>
      <c r="AL68" s="225"/>
      <c r="AM68" s="225"/>
      <c r="AN68" s="225"/>
      <c r="AO68" s="225"/>
      <c r="AP68" s="109">
        <f>(C66+D66)*2/1000</f>
        <v>0</v>
      </c>
    </row>
    <row r="69" spans="2:43" s="221" customFormat="1" ht="20.25" x14ac:dyDescent="0.3">
      <c r="B69" s="228" t="s">
        <v>106</v>
      </c>
      <c r="C69" s="225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5"/>
      <c r="AH69" s="225"/>
      <c r="AI69" s="225"/>
      <c r="AJ69" s="225"/>
      <c r="AK69" s="225"/>
      <c r="AL69" s="225"/>
      <c r="AM69" s="225"/>
      <c r="AN69" s="225"/>
      <c r="AO69" s="225"/>
      <c r="AP69" s="229"/>
    </row>
    <row r="70" spans="2:43" s="227" customFormat="1" ht="15.75" x14ac:dyDescent="0.25">
      <c r="B70" s="377" t="s">
        <v>104</v>
      </c>
      <c r="C70" s="377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W70" s="377"/>
      <c r="X70" s="377"/>
      <c r="Y70" s="377"/>
      <c r="Z70" s="377"/>
      <c r="AA70" s="377"/>
      <c r="AB70" s="377"/>
      <c r="AC70" s="377"/>
      <c r="AD70" s="377"/>
      <c r="AE70" s="377"/>
      <c r="AF70" s="377"/>
      <c r="AG70" s="377"/>
      <c r="AH70" s="377"/>
      <c r="AI70" s="377"/>
      <c r="AJ70" s="377"/>
      <c r="AK70" s="377"/>
      <c r="AL70" s="377"/>
      <c r="AM70" s="377"/>
      <c r="AN70" s="377"/>
      <c r="AO70" s="377"/>
      <c r="AP70" s="377"/>
    </row>
    <row r="71" spans="2:43" ht="66" customHeight="1" x14ac:dyDescent="0.2">
      <c r="B71" s="201" t="s">
        <v>3</v>
      </c>
      <c r="C71" s="201" t="s">
        <v>49</v>
      </c>
      <c r="D71" s="201" t="s">
        <v>51</v>
      </c>
      <c r="E71" s="201" t="s">
        <v>50</v>
      </c>
      <c r="F71" s="201" t="s">
        <v>52</v>
      </c>
      <c r="G71" s="201" t="s">
        <v>166</v>
      </c>
      <c r="H71" s="201" t="s">
        <v>58</v>
      </c>
      <c r="I71" s="369" t="s">
        <v>179</v>
      </c>
      <c r="J71" s="370"/>
      <c r="K71" s="369" t="s">
        <v>53</v>
      </c>
      <c r="L71" s="370"/>
      <c r="M71" s="202" t="s">
        <v>169</v>
      </c>
      <c r="N71" s="202" t="s">
        <v>170</v>
      </c>
      <c r="O71" s="369" t="s">
        <v>171</v>
      </c>
      <c r="P71" s="370"/>
      <c r="Q71" s="203" t="s">
        <v>180</v>
      </c>
      <c r="R71" s="203" t="s">
        <v>168</v>
      </c>
      <c r="S71" s="201" t="s">
        <v>172</v>
      </c>
      <c r="T71" s="201" t="s">
        <v>173</v>
      </c>
      <c r="U71" s="371" t="s">
        <v>54</v>
      </c>
      <c r="V71" s="371"/>
      <c r="W71" s="201" t="s">
        <v>55</v>
      </c>
      <c r="X71" s="204" t="s">
        <v>176</v>
      </c>
      <c r="Y71" s="204" t="s">
        <v>181</v>
      </c>
      <c r="Z71" s="201" t="s">
        <v>167</v>
      </c>
      <c r="AA71" s="201"/>
      <c r="AB71" s="201" t="s">
        <v>183</v>
      </c>
      <c r="AC71" s="201" t="s">
        <v>174</v>
      </c>
      <c r="AD71" s="201" t="s">
        <v>182</v>
      </c>
      <c r="AE71" s="201" t="s">
        <v>175</v>
      </c>
      <c r="AF71" s="201" t="s">
        <v>59</v>
      </c>
      <c r="AG71" s="205" t="s">
        <v>56</v>
      </c>
      <c r="AH71" s="206" t="s">
        <v>124</v>
      </c>
      <c r="AI71" s="206" t="s">
        <v>125</v>
      </c>
      <c r="AJ71" s="205" t="s">
        <v>177</v>
      </c>
      <c r="AK71" s="205"/>
      <c r="AL71" s="205" t="s">
        <v>178</v>
      </c>
      <c r="AM71" s="369" t="s">
        <v>115</v>
      </c>
      <c r="AN71" s="370"/>
      <c r="AO71" s="201" t="s">
        <v>48</v>
      </c>
      <c r="AP71" s="203" t="s">
        <v>57</v>
      </c>
    </row>
    <row r="72" spans="2:43" s="221" customFormat="1" ht="20.25" x14ac:dyDescent="0.3">
      <c r="B72" s="230">
        <v>1</v>
      </c>
      <c r="C72" s="231">
        <f>Бланк!C72</f>
        <v>0</v>
      </c>
      <c r="D72" s="231">
        <f>Бланк!D72</f>
        <v>0</v>
      </c>
      <c r="E72" s="231">
        <f>Бланк!E72</f>
        <v>0</v>
      </c>
      <c r="F72" s="231">
        <f>Бланк!F72</f>
        <v>0</v>
      </c>
      <c r="G72" s="232"/>
      <c r="H72" s="233"/>
      <c r="I72" s="210" t="str">
        <f>IF(Бланк!$I72="","",Бланк!$I72)</f>
        <v/>
      </c>
      <c r="J72" s="211" t="str">
        <f>IF(OR($C72="",$C72=0),"",IF($I72="Пряма з чвертю",(Прайс!$J$43+Прайс!$J$44)*Просчёт!$E72,IF($I72="Пряма без чверті",Просчёт!$E72*Прайс!$J$43,"")))</f>
        <v/>
      </c>
      <c r="K72" s="210" t="str">
        <f>IF(Бланк!$K72="","",Бланк!$K72)</f>
        <v/>
      </c>
      <c r="L72" s="211" t="str">
        <f>IF(Бланк!$J72="","",Бланк!$J72/1000)</f>
        <v/>
      </c>
      <c r="M72" s="213" t="str">
        <f>IF($K72="","",IF(OR($K72="J № 1",$K72="J № 2",$K72="J № 2L",$K72="J № 2R"),$L72*$E72,IF(OR($K72="J № 3L",$K72="J № 3R",$K72="J № 4L",$K72="J № 4R",$K72="J № 5L",$K72="J № 5R"),$L72/2*$E72,IF(K72="45 град.",$L72*$E72,0))))</f>
        <v/>
      </c>
      <c r="N72" s="213" t="str">
        <f>IF($K72="","",IF(OR($K72="J № 1",$K72="J № 2",$K72="J № 2L",$K72="J № 2R"),$L72*$E72*Прайс!$J$46,IF(OR($K72="J № 3",$K72="J № 4",$K72="J № 5",$K72="J № 6",$K72="J № 7"),Прайс!$J$46*$E72,IF(OR($K72="J № 3L",$K72="J № 3R",$K72="J № 4L",$K72="J № 4R",$K72="J № 5L",$K72="J № 5R"),$L72/2*Прайс!$J$46*$E72,0))))</f>
        <v/>
      </c>
      <c r="O72" s="210" t="str">
        <f>IF(Бланк!$L72="","",Бланк!$L72)</f>
        <v/>
      </c>
      <c r="P72" s="210" t="str">
        <f>IF(Бланк!$M72="","",Бланк!$M72)</f>
        <v/>
      </c>
      <c r="Q72" s="214"/>
      <c r="R72" s="215"/>
      <c r="S72" s="210" t="str">
        <f>IF(Бланк!$P72="","",Бланк!$P72)</f>
        <v/>
      </c>
      <c r="T72" s="209" t="str">
        <f>IF($S72="","",VLOOKUP($S72,Лист1!$S$5:$T$32,2,FALSE))</f>
        <v/>
      </c>
      <c r="U72" s="233"/>
      <c r="V72" s="233"/>
      <c r="W72" s="233"/>
      <c r="X72" s="233"/>
      <c r="Y72" s="233"/>
      <c r="Z72" s="233"/>
      <c r="AA72" s="209" t="e">
        <f>VLOOKUP($S72,Прайс!$C$62:$E$90,3,FALSE)</f>
        <v>#N/A</v>
      </c>
      <c r="AB72" s="210" t="str">
        <f>IF(Бланк!$X72="","",Бланк!$X72)</f>
        <v/>
      </c>
      <c r="AC72" s="210" t="str">
        <f>IF(Бланк!$Y72="","",Бланк!$Y72)</f>
        <v/>
      </c>
      <c r="AD72" s="210" t="str">
        <f>IF(Бланк!$Z72="","",Бланк!$Z72)</f>
        <v/>
      </c>
      <c r="AE72" s="210" t="str">
        <f>IF(Бланк!$AA72="","",Бланк!$AA72)</f>
        <v/>
      </c>
      <c r="AF72" s="233"/>
      <c r="AG72" s="233"/>
      <c r="AH72" s="211">
        <f>IF(OR($C72=0,$C72=""),0,IF(AND($AB72="Матове",$AC72="Відкрита пора",$AA72=1,$AD72="Ламінат",$F72=16),$AP72*Прайс!$K$17,IF(AND($AB72="Матове",$AC72="Відкрита пора",$AA72=2,$AD72="Ламінат",$F72=16),$AP72*Прайс!$K$18,IF(AND($AB72="Матове",$AC72="Закрита пора",$AA72=1,$AD72="Ламінат",$F72=16),$AP72*Прайс!$K$19,IF(AND($AB72="Матове",$AC72="Закрита пора",$AA72=2,$AD72="Ламінат",$F72=16),$AP72*Прайс!$K$20,IF(AND($AB72="Глянець",$AC72="Закрита пора",$AA72=1,$AD72="Ламінат",$F72=16),$AP72*Прайс!$K$21,IF(AND($AB72="Глянець",$AC72="Закрита пора",$AA72=2,$AD72="Ламінат",$F72=16),$AP72*Прайс!$K$22,IF(AND($AB72="Матове",$AC72="Відкрита пора",$AA72=1,$AD72="Матове",$AE72="Відкрита пора",$F72=16),$AP72*Прайс!$K$23,IF(AND($AB72="Матове",$AC72="Відкрита пора",$AA72=2,$AD72="Матове",$AE72="Відкрита пора",$F72=16),$AP72*Прайс!$K$24,IF(AND($AB72="Матове",$AC72="Закрита пора",$AA72=1,$AD72="Матове",$AE72="Відкрита пора",$F72=16),$AP72*Прайс!$K$25,IF(AND($AB72="Матове",$AC72="Закрита пора",$AA72=2,$AD72="Матове",$AE72="Відкрита пора",$F72=16),$AP72*Прайс!$K$26,IF(AND($AB72="Глянець",$AC72="Закрита пора",$AA72=1,$AD72="Матове",$AE72="Відкрита пора",$F72=16),$AP72*Прайс!$K$27,IF(AND($AB72="Глянець",$AC72="Закрита пора",$AA72=2,$AD72="Матове",$AE72="Відкрита пора",$F72=16),$AP72*Прайс!$K$28,0)))))))))))))</f>
        <v>0</v>
      </c>
      <c r="AI72" s="211">
        <f>IF(OR($C72=0,$C72=""),0,IF(AND($AB72="Матове",$AC72="Відкрита пора",$AA72=1,$AD72="Ламінат",$F72=19),$AP72*Прайс!$M$17,IF(AND($AB72="Матове",$AC72="Відкрита пора",$AA72=2,$AD72="Ламінат",$F72=19),$AP72*Прайс!$M$18,IF(AND($AB72="Матове",$AC72="Закрита пора",$AA72=1,$AD72="Ламінат",$F72=19),$AP72*Прайс!$M$19,IF(AND($AB72="Матове",$AC72="Закрита пора",$AA72=2,$AD72="Ламінат",$F72=19),$AP72*Прайс!$M$20,IF(AND($AB72="Глянець",$AC72="Закрита пора",$AA72=1,$AD72="Ламінат",$F72=19),$AP72*Прайс!$M$21,IF(AND($AB72="Глянець",$AC72="Закрита пора",$AA72=2,$AD72="Ламінат",$F72=19),$AP72*Прайс!$M$22,IF(AND($AB72="Матове",$AC72="Відкрита пора",$AA72=1,$AD72="Матове",$AE72="Відкрита пора",$F72=19),$AP72*Прайс!$M$23,IF(AND($AB72="Матове",$AC72="Відкрита пора",$AA72=2,$AD72="Матове",$AE72="Відкрита пора",$F72=19),$AP72*Прайс!$M$24,IF(AND($AB72="Матове",$AC72="Закрита пора",$AA72=1,$AD72="Матове",$AE72="Відкрита пора",$F72=19),$AP72*Прайс!$M$25,IF(AND($AB72="Матове",$AC72="Закрита пора",$AA72=2,$AD72="Матове",$AE72="Відкрита пора",$F72=19),$AP72*Прайс!$M$26,IF(AND($AB72="Глянець",$AC72="Закрита пора",$AA72=1,$AD72="Матове",$AE72="Відкрита пора",$F72=19),$AP72*Прайс!$M$27,IF(AND($AB72="Глянець",$AC72="Закрита пора",$AA72=2,$AD72="Матове",$AE72="Відкрита пора",$F72=19),$AP72*Прайс!$M$28,0)))))))))))))</f>
        <v>0</v>
      </c>
      <c r="AJ72" s="210" t="str">
        <f>IF(Бланк!$AD72="","",Бланк!$AD72*E72)</f>
        <v/>
      </c>
      <c r="AK72" s="213" t="str">
        <f>IF(OR($AJ72=0,$AJ72=""),"",$AJ72*Прайс!$J$47*$E72)</f>
        <v/>
      </c>
      <c r="AL72" s="234"/>
      <c r="AM72" s="235"/>
      <c r="AN72" s="233"/>
      <c r="AO72" s="236"/>
      <c r="AP72" s="110">
        <f>C72*D72/1000000*E72*3.14/2</f>
        <v>0</v>
      </c>
    </row>
    <row r="73" spans="2:43" s="221" customFormat="1" ht="21" customHeight="1" x14ac:dyDescent="0.3">
      <c r="B73" s="237">
        <v>2</v>
      </c>
      <c r="C73" s="231">
        <f>Бланк!C73</f>
        <v>0</v>
      </c>
      <c r="D73" s="231">
        <f>Бланк!D73</f>
        <v>0</v>
      </c>
      <c r="E73" s="231">
        <f>Бланк!E73</f>
        <v>0</v>
      </c>
      <c r="F73" s="231">
        <f>Бланк!F73</f>
        <v>0</v>
      </c>
      <c r="G73" s="232"/>
      <c r="H73" s="238"/>
      <c r="I73" s="210" t="str">
        <f>IF(Бланк!$I73="","",Бланк!$I73)</f>
        <v/>
      </c>
      <c r="J73" s="211" t="str">
        <f>IF(OR($C73="",$C73=0),"",IF($I73="Пряма з чвертю",(Прайс!$J$43+Прайс!$J$44)*Просчёт!$E73,IF($I73="Пряма без чверті",Просчёт!$E73*Прайс!$J$43,"")))</f>
        <v/>
      </c>
      <c r="K73" s="239"/>
      <c r="L73" s="233"/>
      <c r="M73" s="213" t="str">
        <f t="shared" ref="M73:M76" si="3">IF($K73="","",IF(OR($K73="J № 1",$K73="J № 2",$K73="J № 2L",$K73="J № 2R"),$L73*$E73,IF(OR($K73="J № 3L",$K73="J № 3R",$K73="J № 4L",$K73="J № 4R",$K73="J № 5L",$K73="J № 5R"),$L73/2*$E73,IF(K73="45 град.",$L73*$E73,0))))</f>
        <v/>
      </c>
      <c r="N73" s="213" t="str">
        <f>IF($K73="","",IF(OR($K73="J № 1",$K73="J № 2",$K73="J № 2L",$K73="J № 2R"),$L73*$E73*Прайс!$J$46,IF(OR($K73="J № 3",$K73="J № 4",$K73="J № 5",$K73="J № 6",$K73="J № 7"),Прайс!$J$46*$E73,IF(OR($K73="J № 3L",$K73="J № 3R",$K73="J № 4L",$K73="J № 4R",$K73="J № 5L",$K73="J № 5R"),$L73/2*Прайс!$J$46*$E73,0))))</f>
        <v/>
      </c>
      <c r="O73" s="210" t="str">
        <f>IF(Бланк!$L73="","",Бланк!$L73)</f>
        <v/>
      </c>
      <c r="P73" s="210" t="str">
        <f>IF(Бланк!$M73="","",Бланк!$M73)</f>
        <v/>
      </c>
      <c r="Q73" s="214"/>
      <c r="R73" s="215"/>
      <c r="S73" s="210" t="str">
        <f>IF(Бланк!$P73="","",Бланк!$P73)</f>
        <v/>
      </c>
      <c r="T73" s="209" t="str">
        <f>IF($S73="","",VLOOKUP($S73,Лист1!$S$5:$T$32,2,FALSE))</f>
        <v/>
      </c>
      <c r="U73" s="233"/>
      <c r="V73" s="233"/>
      <c r="W73" s="233"/>
      <c r="X73" s="233"/>
      <c r="Y73" s="233"/>
      <c r="Z73" s="233"/>
      <c r="AA73" s="209" t="e">
        <f>VLOOKUP($S73,Прайс!$C$62:$E$90,3,FALSE)</f>
        <v>#N/A</v>
      </c>
      <c r="AB73" s="210" t="str">
        <f>IF(Бланк!$X73="","",Бланк!$X73)</f>
        <v/>
      </c>
      <c r="AC73" s="210" t="str">
        <f>IF(Бланк!$Y73="","",Бланк!$Y73)</f>
        <v/>
      </c>
      <c r="AD73" s="210" t="str">
        <f>IF(Бланк!$Z73="","",Бланк!$Z73)</f>
        <v/>
      </c>
      <c r="AE73" s="210" t="str">
        <f>IF(Бланк!$AA73="","",Бланк!$AA73)</f>
        <v/>
      </c>
      <c r="AF73" s="233"/>
      <c r="AG73" s="233"/>
      <c r="AH73" s="211">
        <f>IF(OR($C73=0,$C73=""),0,IF(AND($AB73="Матове",$AC73="Відкрита пора",$AA73=1,$AD73="Ламінат",$F73=16),$AP73*Прайс!$K$17,IF(AND($AB73="Матове",$AC73="Відкрита пора",$AA73=2,$AD73="Ламінат",$F73=16),$AP73*Прайс!$K$18,IF(AND($AB73="Матове",$AC73="Закрита пора",$AA73=1,$AD73="Ламінат",$F73=16),$AP73*Прайс!$K$19,IF(AND($AB73="Матове",$AC73="Закрита пора",$AA73=2,$AD73="Ламінат",$F73=16),$AP73*Прайс!$K$20,IF(AND($AB73="Глянець",$AC73="Закрита пора",$AA73=1,$AD73="Ламінат",$F73=16),$AP73*Прайс!$K$21,IF(AND($AB73="Глянець",$AC73="Закрита пора",$AA73=2,$AD73="Ламінат",$F73=16),$AP73*Прайс!$K$22,IF(AND($AB73="Матове",$AC73="Відкрита пора",$AA73=1,$AD73="Матове",$AE73="Відкрита пора",$F73=16),$AP73*Прайс!$K$23,IF(AND($AB73="Матове",$AC73="Відкрита пора",$AA73=2,$AD73="Матове",$AE73="Відкрита пора",$F73=16),$AP73*Прайс!$K$24,IF(AND($AB73="Матове",$AC73="Закрита пора",$AA73=1,$AD73="Матове",$AE73="Відкрита пора",$F73=16),$AP73*Прайс!$K$25,IF(AND($AB73="Матове",$AC73="Закрита пора",$AA73=2,$AD73="Матове",$AE73="Відкрита пора",$F73=16),$AP73*Прайс!$K$26,IF(AND($AB73="Глянець",$AC73="Закрита пора",$AA73=1,$AD73="Матове",$AE73="Відкрита пора",$F73=16),$AP73*Прайс!$K$27,IF(AND($AB73="Глянець",$AC73="Закрита пора",$AA73=2,$AD73="Матове",$AE73="Відкрита пора",$F73=16),$AP73*Прайс!$K$28,0)))))))))))))</f>
        <v>0</v>
      </c>
      <c r="AI73" s="211">
        <f>IF(OR($C73=0,$C73=""),0,IF(AND($AB73="Матове",$AC73="Відкрита пора",$AA73=1,$AD73="Ламінат",$F73=19),$AP73*Прайс!$M$17,IF(AND($AB73="Матове",$AC73="Відкрита пора",$AA73=2,$AD73="Ламінат",$F73=19),$AP73*Прайс!$M$18,IF(AND($AB73="Матове",$AC73="Закрита пора",$AA73=1,$AD73="Ламінат",$F73=19),$AP73*Прайс!$M$19,IF(AND($AB73="Матове",$AC73="Закрита пора",$AA73=2,$AD73="Ламінат",$F73=19),$AP73*Прайс!$M$20,IF(AND($AB73="Глянець",$AC73="Закрита пора",$AA73=1,$AD73="Ламінат",$F73=19),$AP73*Прайс!$M$21,IF(AND($AB73="Глянець",$AC73="Закрита пора",$AA73=2,$AD73="Ламінат",$F73=19),$AP73*Прайс!$M$22,IF(AND($AB73="Матове",$AC73="Відкрита пора",$AA73=1,$AD73="Матове",$AE73="Відкрита пора",$F73=19),$AP73*Прайс!$M$23,IF(AND($AB73="Матове",$AC73="Відкрита пора",$AA73=2,$AD73="Матове",$AE73="Відкрита пора",$F73=19),$AP73*Прайс!$M$24,IF(AND($AB73="Матове",$AC73="Закрита пора",$AA73=1,$AD73="Матове",$AE73="Відкрита пора",$F73=19),$AP73*Прайс!$M$25,IF(AND($AB73="Матове",$AC73="Закрита пора",$AA73=2,$AD73="Матове",$AE73="Відкрита пора",$F73=19),$AP73*Прайс!$M$26,IF(AND($AB73="Глянець",$AC73="Закрита пора",$AA73=1,$AD73="Матове",$AE73="Відкрита пора",$F73=19),$AP73*Прайс!$M$27,IF(AND($AB73="Глянець",$AC73="Закрита пора",$AA73=2,$AD73="Матове",$AE73="Відкрита пора",$F73=19),$AP73*Прайс!$M$28,0)))))))))))))</f>
        <v>0</v>
      </c>
      <c r="AJ73" s="210" t="str">
        <f>IF(Бланк!$AD73="","",Бланк!$AD73*E73)</f>
        <v/>
      </c>
      <c r="AK73" s="213" t="str">
        <f>IF(OR($AJ73=0,$AJ73=""),"",$AJ73*Прайс!$J$47*$E73)</f>
        <v/>
      </c>
      <c r="AL73" s="234"/>
      <c r="AM73" s="240"/>
      <c r="AN73" s="240"/>
      <c r="AO73" s="236"/>
      <c r="AP73" s="110">
        <f>C73*D73/1000000*E73*3.14/2</f>
        <v>0</v>
      </c>
    </row>
    <row r="74" spans="2:43" s="221" customFormat="1" ht="21" customHeight="1" x14ac:dyDescent="0.3">
      <c r="B74" s="230">
        <v>3</v>
      </c>
      <c r="C74" s="231">
        <f>Бланк!C74</f>
        <v>0</v>
      </c>
      <c r="D74" s="231">
        <f>Бланк!D74</f>
        <v>0</v>
      </c>
      <c r="E74" s="231">
        <f>Бланк!E74</f>
        <v>0</v>
      </c>
      <c r="F74" s="231">
        <f>Бланк!F74</f>
        <v>0</v>
      </c>
      <c r="G74" s="232"/>
      <c r="H74" s="238"/>
      <c r="I74" s="210" t="str">
        <f>IF(Бланк!$I74="","",Бланк!$I74)</f>
        <v/>
      </c>
      <c r="J74" s="211" t="str">
        <f>IF(OR($C74="",$C74=0),"",IF($I74="Пряма з чвертю",(Прайс!$J$43+Прайс!$J$44)*Просчёт!$E74,IF($I74="Пряма без чверті",Просчёт!$E74*Прайс!$J$43,"")))</f>
        <v/>
      </c>
      <c r="K74" s="239"/>
      <c r="L74" s="233"/>
      <c r="M74" s="213" t="str">
        <f t="shared" si="3"/>
        <v/>
      </c>
      <c r="N74" s="213" t="str">
        <f>IF($K74="","",IF(OR($K74="J № 1",$K74="J № 2",$K74="J № 2L",$K74="J № 2R"),$L74*$E74*Прайс!$J$46,IF(OR($K74="J № 3",$K74="J № 4",$K74="J № 5",$K74="J № 6",$K74="J № 7"),Прайс!$J$46*$E74,IF(OR($K74="J № 3L",$K74="J № 3R",$K74="J № 4L",$K74="J № 4R",$K74="J № 5L",$K74="J № 5R"),$L74/2*Прайс!$J$46*$E74,0))))</f>
        <v/>
      </c>
      <c r="O74" s="210" t="str">
        <f>IF(Бланк!$L74="","",Бланк!$L74)</f>
        <v/>
      </c>
      <c r="P74" s="210" t="str">
        <f>IF(Бланк!$M74="","",Бланк!$M74)</f>
        <v/>
      </c>
      <c r="Q74" s="214"/>
      <c r="R74" s="215"/>
      <c r="S74" s="210" t="str">
        <f>IF(Бланк!$P74="","",Бланк!$P74)</f>
        <v/>
      </c>
      <c r="T74" s="209" t="str">
        <f>IF($S74="","",VLOOKUP($S74,Лист1!$S$5:$T$32,2,FALSE))</f>
        <v/>
      </c>
      <c r="U74" s="233"/>
      <c r="V74" s="233"/>
      <c r="W74" s="233"/>
      <c r="X74" s="233"/>
      <c r="Y74" s="233"/>
      <c r="Z74" s="233"/>
      <c r="AA74" s="209" t="e">
        <f>VLOOKUP($S74,Прайс!$C$62:$E$90,3,FALSE)</f>
        <v>#N/A</v>
      </c>
      <c r="AB74" s="210" t="str">
        <f>IF(Бланк!$X74="","",Бланк!$X74)</f>
        <v/>
      </c>
      <c r="AC74" s="210" t="str">
        <f>IF(Бланк!$Y74="","",Бланк!$Y74)</f>
        <v/>
      </c>
      <c r="AD74" s="210" t="str">
        <f>IF(Бланк!$Z74="","",Бланк!$Z74)</f>
        <v/>
      </c>
      <c r="AE74" s="210" t="str">
        <f>IF(Бланк!$AA74="","",Бланк!$AA74)</f>
        <v/>
      </c>
      <c r="AF74" s="238"/>
      <c r="AG74" s="233"/>
      <c r="AH74" s="211">
        <f>IF(OR($C74=0,$C74=""),0,IF(AND($AB74="Матове",$AC74="Відкрита пора",$AA74=1,$AD74="Ламінат",$F74=16),$AP74*Прайс!$K$17,IF(AND($AB74="Матове",$AC74="Відкрита пора",$AA74=2,$AD74="Ламінат",$F74=16),$AP74*Прайс!$K$18,IF(AND($AB74="Матове",$AC74="Закрита пора",$AA74=1,$AD74="Ламінат",$F74=16),$AP74*Прайс!$K$19,IF(AND($AB74="Матове",$AC74="Закрита пора",$AA74=2,$AD74="Ламінат",$F74=16),$AP74*Прайс!$K$20,IF(AND($AB74="Глянець",$AC74="Закрита пора",$AA74=1,$AD74="Ламінат",$F74=16),$AP74*Прайс!$K$21,IF(AND($AB74="Глянець",$AC74="Закрита пора",$AA74=2,$AD74="Ламінат",$F74=16),$AP74*Прайс!$K$22,IF(AND($AB74="Матове",$AC74="Відкрита пора",$AA74=1,$AD74="Матове",$AE74="Відкрита пора",$F74=16),$AP74*Прайс!$K$23,IF(AND($AB74="Матове",$AC74="Відкрита пора",$AA74=2,$AD74="Матове",$AE74="Відкрита пора",$F74=16),$AP74*Прайс!$K$24,IF(AND($AB74="Матове",$AC74="Закрита пора",$AA74=1,$AD74="Матове",$AE74="Відкрита пора",$F74=16),$AP74*Прайс!$K$25,IF(AND($AB74="Матове",$AC74="Закрита пора",$AA74=2,$AD74="Матове",$AE74="Відкрита пора",$F74=16),$AP74*Прайс!$K$26,IF(AND($AB74="Глянець",$AC74="Закрита пора",$AA74=1,$AD74="Матове",$AE74="Відкрита пора",$F74=16),$AP74*Прайс!$K$27,IF(AND($AB74="Глянець",$AC74="Закрита пора",$AA74=2,$AD74="Матове",$AE74="Відкрита пора",$F74=16),$AP74*Прайс!$K$28,0)))))))))))))</f>
        <v>0</v>
      </c>
      <c r="AI74" s="211">
        <f>IF(OR($C74=0,$C74=""),0,IF(AND($AB74="Матове",$AC74="Відкрита пора",$AA74=1,$AD74="Ламінат",$F74=19),$AP74*Прайс!$M$17,IF(AND($AB74="Матове",$AC74="Відкрита пора",$AA74=2,$AD74="Ламінат",$F74=19),$AP74*Прайс!$M$18,IF(AND($AB74="Матове",$AC74="Закрита пора",$AA74=1,$AD74="Ламінат",$F74=19),$AP74*Прайс!$M$19,IF(AND($AB74="Матове",$AC74="Закрита пора",$AA74=2,$AD74="Ламінат",$F74=19),$AP74*Прайс!$M$20,IF(AND($AB74="Глянець",$AC74="Закрита пора",$AA74=1,$AD74="Ламінат",$F74=19),$AP74*Прайс!$M$21,IF(AND($AB74="Глянець",$AC74="Закрита пора",$AA74=2,$AD74="Ламінат",$F74=19),$AP74*Прайс!$M$22,IF(AND($AB74="Матове",$AC74="Відкрита пора",$AA74=1,$AD74="Матове",$AE74="Відкрита пора",$F74=19),$AP74*Прайс!$M$23,IF(AND($AB74="Матове",$AC74="Відкрита пора",$AA74=2,$AD74="Матове",$AE74="Відкрита пора",$F74=19),$AP74*Прайс!$M$24,IF(AND($AB74="Матове",$AC74="Закрита пора",$AA74=1,$AD74="Матове",$AE74="Відкрита пора",$F74=19),$AP74*Прайс!$M$25,IF(AND($AB74="Матове",$AC74="Закрита пора",$AA74=2,$AD74="Матове",$AE74="Відкрита пора",$F74=19),$AP74*Прайс!$M$26,IF(AND($AB74="Глянець",$AC74="Закрита пора",$AA74=1,$AD74="Матове",$AE74="Відкрита пора",$F74=19),$AP74*Прайс!$M$27,IF(AND($AB74="Глянець",$AC74="Закрита пора",$AA74=2,$AD74="Матове",$AE74="Відкрита пора",$F74=19),$AP74*Прайс!$M$28,0)))))))))))))</f>
        <v>0</v>
      </c>
      <c r="AJ74" s="210" t="str">
        <f>IF(Бланк!$AD74="","",Бланк!$AD74*E74)</f>
        <v/>
      </c>
      <c r="AK74" s="213" t="str">
        <f>IF(OR($AJ74=0,$AJ74=""),"",$AJ74*Прайс!$J$47*$E74)</f>
        <v/>
      </c>
      <c r="AL74" s="234"/>
      <c r="AM74" s="238"/>
      <c r="AN74" s="238"/>
      <c r="AO74" s="236"/>
      <c r="AP74" s="110">
        <f>C74*D74/1000000*E74*3.14/2</f>
        <v>0</v>
      </c>
    </row>
    <row r="75" spans="2:43" s="221" customFormat="1" ht="20.25" x14ac:dyDescent="0.3">
      <c r="B75" s="237">
        <v>4</v>
      </c>
      <c r="C75" s="231">
        <f>Бланк!C75</f>
        <v>0</v>
      </c>
      <c r="D75" s="231">
        <f>Бланк!D75</f>
        <v>0</v>
      </c>
      <c r="E75" s="231">
        <f>Бланк!E75</f>
        <v>0</v>
      </c>
      <c r="F75" s="231">
        <f>Бланк!F75</f>
        <v>0</v>
      </c>
      <c r="G75" s="232"/>
      <c r="H75" s="233"/>
      <c r="I75" s="210" t="str">
        <f>IF(Бланк!$I75="","",Бланк!$I75)</f>
        <v/>
      </c>
      <c r="J75" s="211" t="str">
        <f>IF(OR($C75="",$C75=0),"",IF($I75="Пряма з чвертю",(Прайс!$J$43+Прайс!$J$44)*Просчёт!$E75,IF($I75="Пряма без чверті",Просчёт!$E75*Прайс!$J$43,"")))</f>
        <v/>
      </c>
      <c r="K75" s="239"/>
      <c r="L75" s="233"/>
      <c r="M75" s="213" t="str">
        <f t="shared" si="3"/>
        <v/>
      </c>
      <c r="N75" s="213" t="str">
        <f>IF($K75="","",IF(OR($K75="J № 1",$K75="J № 2",$K75="J № 2L",$K75="J № 2R"),$L75*$E75*Прайс!$J$46,IF(OR($K75="J № 3",$K75="J № 4",$K75="J № 5",$K75="J № 6",$K75="J № 7"),Прайс!$J$46*$E75,IF(OR($K75="J № 3L",$K75="J № 3R",$K75="J № 4L",$K75="J № 4R",$K75="J № 5L",$K75="J № 5R"),$L75/2*Прайс!$J$46*$E75,0))))</f>
        <v/>
      </c>
      <c r="O75" s="210" t="str">
        <f>IF(Бланк!$L75="","",Бланк!$L75)</f>
        <v/>
      </c>
      <c r="P75" s="210" t="str">
        <f>IF(Бланк!$M75="","",Бланк!$M75)</f>
        <v/>
      </c>
      <c r="Q75" s="214"/>
      <c r="R75" s="215"/>
      <c r="S75" s="210" t="str">
        <f>IF(Бланк!$P75="","",Бланк!$P75)</f>
        <v/>
      </c>
      <c r="T75" s="209" t="str">
        <f>IF($S75="","",VLOOKUP($S75,Лист1!$S$5:$T$32,2,FALSE))</f>
        <v/>
      </c>
      <c r="U75" s="233"/>
      <c r="V75" s="233"/>
      <c r="W75" s="233"/>
      <c r="X75" s="233"/>
      <c r="Y75" s="233"/>
      <c r="Z75" s="232"/>
      <c r="AA75" s="209" t="e">
        <f>VLOOKUP($S75,Прайс!$C$62:$E$90,3,FALSE)</f>
        <v>#N/A</v>
      </c>
      <c r="AB75" s="210" t="str">
        <f>IF(Бланк!$X75="","",Бланк!$X75)</f>
        <v/>
      </c>
      <c r="AC75" s="210" t="str">
        <f>IF(Бланк!$Y75="","",Бланк!$Y75)</f>
        <v/>
      </c>
      <c r="AD75" s="210" t="str">
        <f>IF(Бланк!$Z75="","",Бланк!$Z75)</f>
        <v/>
      </c>
      <c r="AE75" s="210" t="str">
        <f>IF(Бланк!$AA75="","",Бланк!$AA75)</f>
        <v/>
      </c>
      <c r="AF75" s="238"/>
      <c r="AG75" s="233"/>
      <c r="AH75" s="211">
        <f>IF(OR($C75=0,$C75=""),0,IF(AND($AB75="Матове",$AC75="Відкрита пора",$AA75=1,$AD75="Ламінат",$F75=16),$AP75*Прайс!$K$17,IF(AND($AB75="Матове",$AC75="Відкрита пора",$AA75=2,$AD75="Ламінат",$F75=16),$AP75*Прайс!$K$18,IF(AND($AB75="Матове",$AC75="Закрита пора",$AA75=1,$AD75="Ламінат",$F75=16),$AP75*Прайс!$K$19,IF(AND($AB75="Матове",$AC75="Закрита пора",$AA75=2,$AD75="Ламінат",$F75=16),$AP75*Прайс!$K$20,IF(AND($AB75="Глянець",$AC75="Закрита пора",$AA75=1,$AD75="Ламінат",$F75=16),$AP75*Прайс!$K$21,IF(AND($AB75="Глянець",$AC75="Закрита пора",$AA75=2,$AD75="Ламінат",$F75=16),$AP75*Прайс!$K$22,IF(AND($AB75="Матове",$AC75="Відкрита пора",$AA75=1,$AD75="Матове",$AE75="Відкрита пора",$F75=16),$AP75*Прайс!$K$23,IF(AND($AB75="Матове",$AC75="Відкрита пора",$AA75=2,$AD75="Матове",$AE75="Відкрита пора",$F75=16),$AP75*Прайс!$K$24,IF(AND($AB75="Матове",$AC75="Закрита пора",$AA75=1,$AD75="Матове",$AE75="Відкрита пора",$F75=16),$AP75*Прайс!$K$25,IF(AND($AB75="Матове",$AC75="Закрита пора",$AA75=2,$AD75="Матове",$AE75="Відкрита пора",$F75=16),$AP75*Прайс!$K$26,IF(AND($AB75="Глянець",$AC75="Закрита пора",$AA75=1,$AD75="Матове",$AE75="Відкрита пора",$F75=16),$AP75*Прайс!$K$27,IF(AND($AB75="Глянець",$AC75="Закрита пора",$AA75=2,$AD75="Матове",$AE75="Відкрита пора",$F75=16),$AP75*Прайс!$K$28,0)))))))))))))</f>
        <v>0</v>
      </c>
      <c r="AI75" s="211">
        <f>IF(OR($C75=0,$C75=""),0,IF(AND($AB75="Матове",$AC75="Відкрита пора",$AA75=1,$AD75="Ламінат",$F75=19),$AP75*Прайс!$M$17,IF(AND($AB75="Матове",$AC75="Відкрита пора",$AA75=2,$AD75="Ламінат",$F75=19),$AP75*Прайс!$M$18,IF(AND($AB75="Матове",$AC75="Закрита пора",$AA75=1,$AD75="Ламінат",$F75=19),$AP75*Прайс!$M$19,IF(AND($AB75="Матове",$AC75="Закрита пора",$AA75=2,$AD75="Ламінат",$F75=19),$AP75*Прайс!$M$20,IF(AND($AB75="Глянець",$AC75="Закрита пора",$AA75=1,$AD75="Ламінат",$F75=19),$AP75*Прайс!$M$21,IF(AND($AB75="Глянець",$AC75="Закрита пора",$AA75=2,$AD75="Ламінат",$F75=19),$AP75*Прайс!$M$22,IF(AND($AB75="Матове",$AC75="Відкрита пора",$AA75=1,$AD75="Матове",$AE75="Відкрита пора",$F75=19),$AP75*Прайс!$M$23,IF(AND($AB75="Матове",$AC75="Відкрита пора",$AA75=2,$AD75="Матове",$AE75="Відкрита пора",$F75=19),$AP75*Прайс!$M$24,IF(AND($AB75="Матове",$AC75="Закрита пора",$AA75=1,$AD75="Матове",$AE75="Відкрита пора",$F75=19),$AP75*Прайс!$M$25,IF(AND($AB75="Матове",$AC75="Закрита пора",$AA75=2,$AD75="Матове",$AE75="Відкрита пора",$F75=19),$AP75*Прайс!$M$26,IF(AND($AB75="Глянець",$AC75="Закрита пора",$AA75=1,$AD75="Матове",$AE75="Відкрита пора",$F75=19),$AP75*Прайс!$M$27,IF(AND($AB75="Глянець",$AC75="Закрита пора",$AA75=2,$AD75="Матове",$AE75="Відкрита пора",$F75=19),$AP75*Прайс!$M$28,0)))))))))))))</f>
        <v>0</v>
      </c>
      <c r="AJ75" s="210" t="str">
        <f>IF(Бланк!$AD75="","",Бланк!$AD75*E75)</f>
        <v/>
      </c>
      <c r="AK75" s="213" t="str">
        <f>IF(OR($AJ75=0,$AJ75=""),"",$AJ75*Прайс!$J$47*$E75)</f>
        <v/>
      </c>
      <c r="AL75" s="234"/>
      <c r="AM75" s="236"/>
      <c r="AN75" s="238"/>
      <c r="AO75" s="236"/>
      <c r="AP75" s="110">
        <f>C75*D75/1000000*E75*3.14/2</f>
        <v>0</v>
      </c>
    </row>
    <row r="76" spans="2:43" s="221" customFormat="1" ht="21" customHeight="1" x14ac:dyDescent="0.3">
      <c r="B76" s="230">
        <v>5</v>
      </c>
      <c r="C76" s="231">
        <f>Бланк!C76</f>
        <v>0</v>
      </c>
      <c r="D76" s="231">
        <f>Бланк!D76</f>
        <v>0</v>
      </c>
      <c r="E76" s="231">
        <f>Бланк!E76</f>
        <v>0</v>
      </c>
      <c r="F76" s="231">
        <f>Бланк!F76</f>
        <v>0</v>
      </c>
      <c r="G76" s="232"/>
      <c r="H76" s="238"/>
      <c r="I76" s="210" t="str">
        <f>IF(Бланк!$I76="","",Бланк!$I76)</f>
        <v/>
      </c>
      <c r="J76" s="211" t="str">
        <f>IF(OR($C76="",$C76=0),"",IF($I76="Пряма з чвертю",(Прайс!$J$43+Прайс!$J$44)*Просчёт!$E76,IF($I76="Пряма без чверті",Просчёт!$E76*Прайс!$J$43,"")))</f>
        <v/>
      </c>
      <c r="K76" s="239"/>
      <c r="L76" s="233"/>
      <c r="M76" s="213" t="str">
        <f t="shared" si="3"/>
        <v/>
      </c>
      <c r="N76" s="213" t="str">
        <f>IF($K76="","",IF(OR($K76="J № 1",$K76="J № 2",$K76="J № 2L",$K76="J № 2R"),$L76*$E76*Прайс!$J$46,IF(OR($K76="J № 3",$K76="J № 4",$K76="J № 5",$K76="J № 6",$K76="J № 7"),Прайс!$J$46*$E76,IF(OR($K76="J № 3L",$K76="J № 3R",$K76="J № 4L",$K76="J № 4R",$K76="J № 5L",$K76="J № 5R"),$L76/2*Прайс!$J$46*$E76,0))))</f>
        <v/>
      </c>
      <c r="O76" s="210" t="str">
        <f>IF(Бланк!$L76="","",Бланк!$L76)</f>
        <v/>
      </c>
      <c r="P76" s="210" t="str">
        <f>IF(Бланк!$M76="","",Бланк!$M76)</f>
        <v/>
      </c>
      <c r="Q76" s="214"/>
      <c r="R76" s="215"/>
      <c r="S76" s="210" t="str">
        <f>IF(Бланк!$P76="","",Бланк!$P76)</f>
        <v/>
      </c>
      <c r="T76" s="209" t="str">
        <f>IF($S76="","",VLOOKUP($S76,Лист1!$S$5:$T$32,2,FALSE))</f>
        <v/>
      </c>
      <c r="U76" s="233"/>
      <c r="V76" s="233"/>
      <c r="W76" s="233"/>
      <c r="X76" s="233"/>
      <c r="Y76" s="233"/>
      <c r="Z76" s="233"/>
      <c r="AA76" s="209" t="e">
        <f>VLOOKUP($S76,Прайс!$C$62:$E$90,3,FALSE)</f>
        <v>#N/A</v>
      </c>
      <c r="AB76" s="210" t="str">
        <f>IF(Бланк!$X76="","",Бланк!$X76)</f>
        <v/>
      </c>
      <c r="AC76" s="210" t="str">
        <f>IF(Бланк!$Y76="","",Бланк!$Y76)</f>
        <v/>
      </c>
      <c r="AD76" s="210" t="str">
        <f>IF(Бланк!$Z76="","",Бланк!$Z76)</f>
        <v/>
      </c>
      <c r="AE76" s="210" t="str">
        <f>IF(Бланк!$AA76="","",Бланк!$AA76)</f>
        <v/>
      </c>
      <c r="AF76" s="238"/>
      <c r="AG76" s="233"/>
      <c r="AH76" s="211">
        <f>IF(OR($C76=0,$C76=""),0,IF(AND($AB76="Матове",$AC76="Відкрита пора",$AA76=1,$AD76="Ламінат",$F76=16),$AP76*Прайс!$K$17,IF(AND($AB76="Матове",$AC76="Відкрита пора",$AA76=2,$AD76="Ламінат",$F76=16),$AP76*Прайс!$K$18,IF(AND($AB76="Матове",$AC76="Закрита пора",$AA76=1,$AD76="Ламінат",$F76=16),$AP76*Прайс!$K$19,IF(AND($AB76="Матове",$AC76="Закрита пора",$AA76=2,$AD76="Ламінат",$F76=16),$AP76*Прайс!$K$20,IF(AND($AB76="Глянець",$AC76="Закрита пора",$AA76=1,$AD76="Ламінат",$F76=16),$AP76*Прайс!$K$21,IF(AND($AB76="Глянець",$AC76="Закрита пора",$AA76=2,$AD76="Ламінат",$F76=16),$AP76*Прайс!$K$22,IF(AND($AB76="Матове",$AC76="Відкрита пора",$AA76=1,$AD76="Матове",$AE76="Відкрита пора",$F76=16),$AP76*Прайс!$K$23,IF(AND($AB76="Матове",$AC76="Відкрита пора",$AA76=2,$AD76="Матове",$AE76="Відкрита пора",$F76=16),$AP76*Прайс!$K$24,IF(AND($AB76="Матове",$AC76="Закрита пора",$AA76=1,$AD76="Матове",$AE76="Відкрита пора",$F76=16),$AP76*Прайс!$K$25,IF(AND($AB76="Матове",$AC76="Закрита пора",$AA76=2,$AD76="Матове",$AE76="Відкрита пора",$F76=16),$AP76*Прайс!$K$26,IF(AND($AB76="Глянець",$AC76="Закрита пора",$AA76=1,$AD76="Матове",$AE76="Відкрита пора",$F76=16),$AP76*Прайс!$K$27,IF(AND($AB76="Глянець",$AC76="Закрита пора",$AA76=2,$AD76="Матове",$AE76="Відкрита пора",$F76=16),$AP76*Прайс!$K$28,0)))))))))))))</f>
        <v>0</v>
      </c>
      <c r="AI76" s="211">
        <f>IF(OR($C76=0,$C76=""),0,IF(AND($AB76="Матове",$AC76="Відкрита пора",$AA76=1,$AD76="Ламінат",$F76=19),$AP76*Прайс!$M$17,IF(AND($AB76="Матове",$AC76="Відкрита пора",$AA76=2,$AD76="Ламінат",$F76=19),$AP76*Прайс!$M$18,IF(AND($AB76="Матове",$AC76="Закрита пора",$AA76=1,$AD76="Ламінат",$F76=19),$AP76*Прайс!$M$19,IF(AND($AB76="Матове",$AC76="Закрита пора",$AA76=2,$AD76="Ламінат",$F76=19),$AP76*Прайс!$M$20,IF(AND($AB76="Глянець",$AC76="Закрита пора",$AA76=1,$AD76="Ламінат",$F76=19),$AP76*Прайс!$M$21,IF(AND($AB76="Глянець",$AC76="Закрита пора",$AA76=2,$AD76="Ламінат",$F76=19),$AP76*Прайс!$M$22,IF(AND($AB76="Матове",$AC76="Відкрита пора",$AA76=1,$AD76="Матове",$AE76="Відкрита пора",$F76=19),$AP76*Прайс!$M$23,IF(AND($AB76="Матове",$AC76="Відкрита пора",$AA76=2,$AD76="Матове",$AE76="Відкрита пора",$F76=19),$AP76*Прайс!$M$24,IF(AND($AB76="Матове",$AC76="Закрита пора",$AA76=1,$AD76="Матове",$AE76="Відкрита пора",$F76=19),$AP76*Прайс!$M$25,IF(AND($AB76="Матове",$AC76="Закрита пора",$AA76=2,$AD76="Матове",$AE76="Відкрита пора",$F76=19),$AP76*Прайс!$M$26,IF(AND($AB76="Глянець",$AC76="Закрита пора",$AA76=1,$AD76="Матове",$AE76="Відкрита пора",$F76=19),$AP76*Прайс!$M$27,IF(AND($AB76="Глянець",$AC76="Закрита пора",$AA76=2,$AD76="Матове",$AE76="Відкрита пора",$F76=19),$AP76*Прайс!$M$28,0)))))))))))))</f>
        <v>0</v>
      </c>
      <c r="AJ76" s="210" t="str">
        <f>IF(Бланк!$AD76="","",Бланк!$AD76*E76)</f>
        <v/>
      </c>
      <c r="AK76" s="213" t="str">
        <f>IF(OR($AJ76=0,$AJ76=""),"",$AJ76*Прайс!$J$47*$E76)</f>
        <v/>
      </c>
      <c r="AL76" s="234"/>
      <c r="AM76" s="238"/>
      <c r="AN76" s="238"/>
      <c r="AO76" s="236"/>
      <c r="AP76" s="110">
        <f>C76*D76/1000000*E76*3.14/2</f>
        <v>0</v>
      </c>
    </row>
    <row r="77" spans="2:43" ht="15.75" x14ac:dyDescent="0.25">
      <c r="B77" s="225" t="s">
        <v>8</v>
      </c>
      <c r="C77" s="162"/>
      <c r="D77" s="225"/>
      <c r="E77" s="225">
        <f>SUM(E72:E76)</f>
        <v>0</v>
      </c>
      <c r="F77" s="225"/>
      <c r="G77" s="225"/>
      <c r="H77" s="225"/>
      <c r="I77" s="225">
        <f>SUM(I72:I76)</f>
        <v>0</v>
      </c>
      <c r="J77" s="225"/>
      <c r="K77" s="225">
        <f>SUMPRODUCT($E$72:$E$76,$K$72:$K$76)/1000</f>
        <v>0</v>
      </c>
      <c r="L77" s="225">
        <f>SUMIF($L$72:$L$76,"**",$E$72:$E$76)</f>
        <v>0</v>
      </c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41"/>
      <c r="AH77" s="241"/>
      <c r="AI77" s="241"/>
      <c r="AJ77" s="112">
        <f>SUM(AJ72:AJ76)</f>
        <v>0</v>
      </c>
      <c r="AK77" s="112"/>
      <c r="AL77" s="241"/>
      <c r="AM77" s="241"/>
      <c r="AN77" s="241"/>
      <c r="AO77" s="241"/>
      <c r="AP77" s="108">
        <f>SUM(AP72:AP76)</f>
        <v>0</v>
      </c>
    </row>
    <row r="78" spans="2:43" s="221" customFormat="1" ht="20.25" x14ac:dyDescent="0.3">
      <c r="B78" s="378" t="s">
        <v>15</v>
      </c>
      <c r="C78" s="379"/>
      <c r="D78" s="380"/>
      <c r="E78" s="242">
        <f>SUM(E66)+(E77)</f>
        <v>0</v>
      </c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128">
        <f>AP77</f>
        <v>0</v>
      </c>
    </row>
    <row r="79" spans="2:43" ht="15.75" x14ac:dyDescent="0.25">
      <c r="B79" s="162"/>
      <c r="C79" s="162"/>
      <c r="D79" s="162"/>
      <c r="E79" s="112"/>
      <c r="F79" s="227"/>
      <c r="G79" s="227"/>
      <c r="H79" s="227"/>
      <c r="I79" s="227"/>
      <c r="J79" s="227"/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  <c r="AA79" s="227"/>
      <c r="AB79" s="227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43"/>
    </row>
    <row r="80" spans="2:43" ht="20.25" x14ac:dyDescent="0.3">
      <c r="B80" s="167" t="s">
        <v>4</v>
      </c>
      <c r="C80" s="167"/>
      <c r="D80" s="372">
        <f>AO10</f>
        <v>0</v>
      </c>
      <c r="E80" s="372"/>
      <c r="F80" s="372"/>
      <c r="G80" s="244"/>
      <c r="H80" s="227"/>
      <c r="I80" s="227"/>
      <c r="J80" s="227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  <c r="AA80" s="227"/>
      <c r="AB80" s="227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45"/>
    </row>
    <row r="81" spans="2:42" ht="20.25" x14ac:dyDescent="0.3">
      <c r="B81" s="167" t="s">
        <v>5</v>
      </c>
      <c r="C81" s="167"/>
      <c r="D81" s="373">
        <f>D80+20</f>
        <v>20</v>
      </c>
      <c r="E81" s="374"/>
      <c r="F81" s="375"/>
      <c r="G81" s="244"/>
      <c r="H81" s="246"/>
      <c r="I81" s="246"/>
      <c r="J81" s="246"/>
      <c r="K81" s="246"/>
      <c r="L81" s="246"/>
      <c r="M81" s="246"/>
      <c r="N81" s="246"/>
      <c r="O81" s="246"/>
      <c r="P81" s="246"/>
      <c r="Q81" s="246"/>
      <c r="R81" s="246"/>
      <c r="S81" s="246"/>
      <c r="T81" s="246"/>
      <c r="U81" s="246"/>
      <c r="V81" s="246"/>
      <c r="W81" s="246"/>
      <c r="X81" s="246"/>
      <c r="Y81" s="246"/>
      <c r="Z81" s="246"/>
      <c r="AA81" s="246"/>
      <c r="AB81" s="246"/>
      <c r="AC81" s="246"/>
      <c r="AD81" s="246"/>
      <c r="AE81" s="246"/>
      <c r="AF81" s="246"/>
      <c r="AG81" s="247"/>
      <c r="AH81" s="247"/>
      <c r="AI81" s="247"/>
      <c r="AJ81" s="247"/>
      <c r="AK81" s="247"/>
      <c r="AL81" s="247"/>
      <c r="AM81" s="247"/>
      <c r="AN81" s="247"/>
      <c r="AO81" s="247"/>
      <c r="AP81" s="229"/>
    </row>
    <row r="82" spans="2:42" ht="15.75" x14ac:dyDescent="0.25">
      <c r="B82" s="376" t="s">
        <v>17</v>
      </c>
      <c r="C82" s="376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W82" s="376"/>
      <c r="X82" s="376"/>
      <c r="Y82" s="376"/>
      <c r="Z82" s="376"/>
      <c r="AA82" s="376"/>
      <c r="AB82" s="376"/>
      <c r="AC82" s="376"/>
      <c r="AD82" s="376"/>
      <c r="AE82" s="376"/>
      <c r="AF82" s="376"/>
      <c r="AG82" s="376"/>
      <c r="AH82" s="376"/>
      <c r="AI82" s="376"/>
      <c r="AJ82" s="376"/>
      <c r="AK82" s="376"/>
      <c r="AL82" s="376"/>
      <c r="AM82" s="376"/>
      <c r="AN82" s="376"/>
      <c r="AO82" s="376"/>
      <c r="AP82" s="376"/>
    </row>
    <row r="83" spans="2:42" ht="15.75" x14ac:dyDescent="0.25">
      <c r="B83" s="162" t="s">
        <v>6</v>
      </c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</row>
    <row r="84" spans="2:42" ht="15.75" x14ac:dyDescent="0.25">
      <c r="B84" s="162"/>
      <c r="C84" s="162"/>
      <c r="D84" s="162"/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248" t="s">
        <v>9</v>
      </c>
      <c r="AP84" s="249">
        <f>SUM(AJ84:AJ159)</f>
        <v>0</v>
      </c>
    </row>
    <row r="85" spans="2:42" ht="47.25" x14ac:dyDescent="0.25">
      <c r="B85" s="162"/>
      <c r="C85" s="162"/>
      <c r="D85" s="225"/>
      <c r="E85" s="225"/>
      <c r="F85" s="225"/>
      <c r="G85" s="225"/>
      <c r="H85" s="225"/>
      <c r="I85" s="225"/>
      <c r="J85" s="225"/>
      <c r="K85" s="250" t="s">
        <v>123</v>
      </c>
      <c r="L85" s="250"/>
      <c r="M85" s="250" t="s">
        <v>7</v>
      </c>
      <c r="N85" s="251" t="s">
        <v>354</v>
      </c>
      <c r="O85" s="250" t="s">
        <v>8</v>
      </c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252" t="s">
        <v>10</v>
      </c>
      <c r="AP85" s="112"/>
    </row>
    <row r="86" spans="2:42" ht="15.75" x14ac:dyDescent="0.25">
      <c r="B86" s="253" t="s">
        <v>295</v>
      </c>
      <c r="C86" s="253"/>
      <c r="D86" s="253"/>
      <c r="E86" s="253"/>
      <c r="F86" s="253"/>
      <c r="G86" s="253"/>
      <c r="H86" s="253"/>
      <c r="I86" s="253"/>
      <c r="J86" s="254" t="s">
        <v>296</v>
      </c>
      <c r="K86" s="255">
        <f>SUMIFS($AP$21:$AP$65,$AB$21:$AB$65,"Матове",$AC$21:$AC$65,"Відкрита пора",$F$21:$F$65,16,$AD$21:$AD$65,"Ламінат",$AA$21:$AA$65,1)+SUMIFS($AP$21:$AP$65,$AB$21:$AB$65,"Матове",$AC$21:$AC$65,"Відкрита пора",$F$21:$F$65,10,$AD$21:$AD$65,"Ламінат",$AA$21:$AA$65,1)+SUMIFS($AP$21:$AP$65,$AB$21:$AB$65,"Матове",$AC$21:$AC$65,"Відкрита пора",$F$21:$F$65,8,$AD$21:$AD$65,"Ламінат",$AA$21:$AA$65,1)+SUMIFS($AP$21:$AP$65,$AB$21:$AB$65,"Матове",$AC$21:$AC$65,"Відкрита пора",$F$21:$F$65,6,$AD$21:$AD$65,"Ламінат",$AA$21:$AA$65,1)+SUMIFS($AP$21:$AP$65,$AB$21:$AB$65,"Матове",$AC$21:$AC$65,"Відкрита пора",$F$21:$F$65,4,$AD$21:$AD$65,"Ламінат",$AA$21:$AA$65,1)</f>
        <v>0</v>
      </c>
      <c r="L86" s="256"/>
      <c r="M86" s="256">
        <f>Прайс!$G$17</f>
        <v>4244</v>
      </c>
      <c r="N86" s="257">
        <f t="shared" ref="N86:N154" si="4">K86*M86</f>
        <v>0</v>
      </c>
      <c r="O86" s="255">
        <f>SUMIFS($T$14:$T$38,$P$14:$P$38,"Матове",$Q$14:$Q$38,"Відкрита пора",$F$14:$F$38,16,$R$14:$R$38,"Нема",$S$14:$S$38,"Ламінат",$O$14:$O$38,1)+SUMIFS($T$14:$T$38,$P$14:$P$38,"Матове",$Q$14:$Q$38,"Відкрита пора",$F$14:$F$38,10,$R$14:$R$38,"Нема",$S$14:$S$38,"Ламінат",$O$14:$O$38,1)+SUMIFS($T$14:$T$38,$P$14:$P$38,"Матове",$Q$14:$Q$38,"Відкрита пора",$F$14:$F$38,8,$R$14:$R$38,"Нема",$S$14:$S$38,"Ламінат",$O$14:$O$38,1)+SUMIFS($T$14:$T$38,$P$14:$P$38,"Матове",$Q$14:$Q$38,"Відкрита пора",$F$14:$F$38,6,$R$14:$R$38,"Нема",$S$14:$S$38,"Ламінат",$O$14:$O$38,1)+SUMIFS($T$14:$T$38,$P$14:$P$38,"Матове",$Q$14:$Q$38,"Відкрита пора",$F$14:$F$38,4,$R$14:$R$38,"Нема",$S$14:$S$38,"Ламінат",$O$14:$O$38,1)</f>
        <v>0</v>
      </c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252"/>
      <c r="AP86" s="112"/>
    </row>
    <row r="87" spans="2:42" ht="15.75" x14ac:dyDescent="0.25">
      <c r="B87" s="253" t="s">
        <v>297</v>
      </c>
      <c r="C87" s="254"/>
      <c r="D87" s="254"/>
      <c r="E87" s="254"/>
      <c r="F87" s="254"/>
      <c r="G87" s="254"/>
      <c r="H87" s="254"/>
      <c r="I87" s="254"/>
      <c r="J87" s="254" t="s">
        <v>296</v>
      </c>
      <c r="K87" s="255">
        <f>SUMIFS($AP$21:$AP$65,$AB$21:$AB$65,"Матове",$AC$21:$AC$65,"Відкрита пора",$F$21:$F$65,16,$AD$21:$AD$65,"Ламінат",$AA$21:$AA$65,2)+SUMIFS($AP$21:$AP$65,$AB$21:$AB$65,"Матове",$AC$21:$AC$65,"Відкрита пора",$F$21:$F$65,10,$AD$21:$AD$65,"Ламінат",$AA$21:$AA$65,2)+SUMIFS($AP$21:$AP$65,$AB$21:$AB$65,"Матове",$AC$21:$AC$65,"Відкрита пора",$F$21:$F$65,8,$AD$21:$AD$65,"Ламінат",$AA$21:$AA$65,2)+SUMIFS($AP$21:$AP$65,$AB$21:$AB$65,"Матове",$AC$21:$AC$65,"Відкрита пора",$F$21:$F$65,6,$AD$21:$AD$65,"Ламінат",$AA$21:$AA$65,2)+SUMIFS($AP$21:$AP$65,$AB$21:$AB$65,"Матове",$AC$21:$AC$65,"Відкрита пора",$F$21:$F$65,4,$AD$21:$AD$65,"Ламінат",$AA$21:$AA$65,2)</f>
        <v>0</v>
      </c>
      <c r="L87" s="256"/>
      <c r="M87" s="256">
        <f>Прайс!$G$18</f>
        <v>4410</v>
      </c>
      <c r="N87" s="257">
        <f t="shared" si="4"/>
        <v>0</v>
      </c>
      <c r="O87" s="255">
        <f>SUMIFS($T$14:$T$38,$P$14:$P$38,"Матове",$Q$14:$Q$38,"Відкрита пора",$F$14:$F$38,16,$R$14:$R$38,"Нема",$S$14:$S$38,"Ламінат",$O$14:$O$38,2)+SUMIFS($T$14:$T$38,$P$14:$P$38,"Матове",$Q$14:$Q$38,"Відкрита пора",$F$14:$F$38,10,$R$14:$R$38,"Нема",$S$14:$S$38,"Ламінат",$O$14:$O$38,2)+SUMIFS($T$14:$T$38,$P$14:$P$38,"Матове",$Q$14:$Q$38,"Відкрита пора",$F$14:$F$38,8,$R$14:$R$38,"Нема",$S$14:$S$38,"Ламінат",$O$14:$O$38,2)+SUMIFS($T$14:$T$38,$P$14:$P$38,"Матове",$Q$14:$Q$38,"Відкрита пора",$F$14:$F$38,6,$R$14:$R$38,"Нема",$S$14:$S$38,"Ламінат",$O$14:$O$38,2)+SUMIFS($T$14:$T$38,$P$14:$P$38,"Матове",$Q$14:$Q$38,"Відкрита пора",$F$14:$F$38,4,$R$14:$R$38,"Нема",$S$14:$S$38,"Ламінат",$O$14:$O$38,2)</f>
        <v>0</v>
      </c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11">
        <f>(AP84*(100-AP85)/100)</f>
        <v>0</v>
      </c>
    </row>
    <row r="88" spans="2:42" ht="15.75" x14ac:dyDescent="0.25">
      <c r="B88" s="162" t="s">
        <v>298</v>
      </c>
      <c r="C88" s="167"/>
      <c r="D88" s="167"/>
      <c r="E88" s="167"/>
      <c r="F88" s="167"/>
      <c r="G88" s="167"/>
      <c r="H88" s="167"/>
      <c r="I88" s="167"/>
      <c r="J88" s="167" t="s">
        <v>296</v>
      </c>
      <c r="K88" s="255">
        <f>SUMIFS($AP$21:$AP$65,$AB$21:$AB$65,"Матове",$AC$21:$AC$65,"Відкрита пора",$F$21:$F$65,19,$AD$21:$AD$65,"Ламінат",$AA$21:$AA$65,1)</f>
        <v>0</v>
      </c>
      <c r="L88" s="256"/>
      <c r="M88" s="256">
        <f>Прайс!$I$17</f>
        <v>4314</v>
      </c>
      <c r="N88" s="257">
        <f t="shared" si="4"/>
        <v>0</v>
      </c>
      <c r="O88" s="256">
        <f>SUMIFS($U$14:$U$38,$P$14:$P$38,"Матове",$Q$14:$Q$38,"Відкрита пора",$F$14:$F$38,19,$R$14:$R$38,"Нема",$S$14:$S$38,"Ламінат",$O$14:$O$38,1)</f>
        <v>0</v>
      </c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7" t="s">
        <v>11</v>
      </c>
      <c r="AP88" s="112"/>
    </row>
    <row r="89" spans="2:42" ht="15.75" x14ac:dyDescent="0.25">
      <c r="B89" s="162" t="s">
        <v>299</v>
      </c>
      <c r="C89" s="167"/>
      <c r="D89" s="167"/>
      <c r="E89" s="167"/>
      <c r="F89" s="167"/>
      <c r="G89" s="167"/>
      <c r="H89" s="167"/>
      <c r="I89" s="167"/>
      <c r="J89" s="167" t="s">
        <v>296</v>
      </c>
      <c r="K89" s="255">
        <f>SUMIFS($AP$21:$AP$65,$AB$21:$AB$65,"Матове",$AC$21:$AC$65,"Відкрита пора",$F$21:$F$65,19,$AD$21:$AD$65,"Ламінат",$AA$21:$AA$65,2)</f>
        <v>0</v>
      </c>
      <c r="L89" s="256"/>
      <c r="M89" s="256">
        <f>Прайс!$I$18</f>
        <v>4510</v>
      </c>
      <c r="N89" s="257">
        <f t="shared" si="4"/>
        <v>0</v>
      </c>
      <c r="O89" s="256">
        <f>SUMIFS($U$14:$U$38,$P$14:$P$38,"Матове",$Q$14:$Q$38,"Відкрита пора",$F$14:$F$38,19,$R$14:$R$38,"Нема",$S$14:$S$38,"Ламінат",$O$14:$O$38,2)</f>
        <v>0</v>
      </c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7"/>
      <c r="AP89" s="112"/>
    </row>
    <row r="90" spans="2:42" ht="15.75" x14ac:dyDescent="0.25">
      <c r="B90" s="325" t="s">
        <v>375</v>
      </c>
      <c r="C90" s="326"/>
      <c r="D90" s="326"/>
      <c r="E90" s="326"/>
      <c r="F90" s="326"/>
      <c r="G90" s="326"/>
      <c r="H90" s="326"/>
      <c r="I90" s="326"/>
      <c r="J90" s="326" t="s">
        <v>296</v>
      </c>
      <c r="K90" s="327">
        <f>SUMIFS($AP$21:$AP$65,$AB$21:$AB$65,"Матове",$AC$21:$AC$65,"Відкрита пора",$F$21:$F$65,22,$AD$21:$AD$65,"Ламінат",$AA$21:$AA$65,1)</f>
        <v>0</v>
      </c>
      <c r="L90" s="327"/>
      <c r="M90" s="256">
        <f>Прайс!$I$17+700</f>
        <v>5014</v>
      </c>
      <c r="N90" s="257">
        <f t="shared" si="4"/>
        <v>0</v>
      </c>
      <c r="O90" s="327">
        <f>SUMIFS($U$14:$U$38,$P$14:$P$38,"Матове",$Q$14:$Q$38,"Відкрита пора",$F$14:$F$38,19,$R$14:$R$38,"Нема",$S$14:$S$38,"Ламінат",$O$14:$O$38,1)</f>
        <v>0</v>
      </c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7"/>
      <c r="AP90" s="112"/>
    </row>
    <row r="91" spans="2:42" ht="15.75" x14ac:dyDescent="0.25">
      <c r="B91" s="325" t="s">
        <v>376</v>
      </c>
      <c r="C91" s="326"/>
      <c r="D91" s="326"/>
      <c r="E91" s="326"/>
      <c r="F91" s="326"/>
      <c r="G91" s="326"/>
      <c r="H91" s="326"/>
      <c r="I91" s="326"/>
      <c r="J91" s="326" t="s">
        <v>296</v>
      </c>
      <c r="K91" s="327">
        <f>SUMIFS($AP$21:$AP$65,$AB$21:$AB$65,"Матове",$AC$21:$AC$65,"Відкрита пора",$F$21:$F$65,22,$AD$21:$AD$65,"Ламінат",$AA$21:$AA$65,2)</f>
        <v>0</v>
      </c>
      <c r="L91" s="327"/>
      <c r="M91" s="256">
        <f>Прайс!$I$18+700</f>
        <v>5210</v>
      </c>
      <c r="N91" s="257">
        <f t="shared" si="4"/>
        <v>0</v>
      </c>
      <c r="O91" s="327">
        <f>SUMIFS($U$14:$U$38,$P$14:$P$38,"Матове",$Q$14:$Q$38,"Відкрита пора",$F$14:$F$38,19,$R$14:$R$38,"Нема",$S$14:$S$38,"Ламінат",$O$14:$O$38,2)</f>
        <v>0</v>
      </c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7"/>
      <c r="AP91" s="112"/>
    </row>
    <row r="92" spans="2:42" ht="15.75" x14ac:dyDescent="0.25">
      <c r="B92" s="253" t="s">
        <v>300</v>
      </c>
      <c r="C92" s="254"/>
      <c r="D92" s="254"/>
      <c r="E92" s="254"/>
      <c r="F92" s="254"/>
      <c r="G92" s="254"/>
      <c r="H92" s="254"/>
      <c r="I92" s="254"/>
      <c r="J92" s="254" t="s">
        <v>296</v>
      </c>
      <c r="K92" s="255">
        <f>SUMIFS($AP$21:$AP$65,$AB$21:$AB$65,"Матове",$AC$21:$AC$65,"Закрита пора",$F$21:$F$65,16,$AD$21:$AD$65,"Ламінат",$AA$21:$AA$65,1)+SUMIFS($AP$21:$AP$65,$AB$21:$AB$65,"Матове",$AC$21:$AC$65,"Закрита  пора",$F$21:$F$65,10,$AD$21:$AD$65,"Ламінат",$AA$21:$AA$65,1)+SUMIFS($AP$21:$AP$65,$AB$21:$AB$65,"Матове",$AC$21:$AC$65,"Закрита  пора",$F$21:$F$65,8,$AD$21:$AD$65,"Ламінат",$AA$21:$AA$65,1)+SUMIFS($AP$21:$AP$65,$AB$21:$AB$65,"Матове",$AC$21:$AC$65,"Закрита  пора",$F$21:$F$65,6,$AD$21:$AD$65,"Ламінат",$AA$21:$AA$65,1)+SUMIFS($AP$21:$AP$65,$AB$21:$AB$65,"Матове",$AC$21:$AC$65,"Закрита  пора",$F$21:$F$65,4,$AD$21:$AD$65,"Ламінат",$AA$21:$AA$65,1)</f>
        <v>0</v>
      </c>
      <c r="L92" s="256"/>
      <c r="M92" s="256">
        <f>Прайс!$G$19</f>
        <v>4874</v>
      </c>
      <c r="N92" s="257">
        <f t="shared" si="4"/>
        <v>0</v>
      </c>
      <c r="O92" s="255">
        <f>SUMIFS($T$14:$T$38,$P$14:$P$38,"Матове",$Q$14:$Q$38,"Закрита пора",$F$14:$F$38,16,$R$14:$R$38,"Нема",$S$14:$S$38,"Ламінат",$O$14:$O$38,1)+SUMIFS($T$14:$T$38,$P$14:$P$38,"Матове",$Q$14:$Q$38,"Закрита пора",$F$14:$F$38,10,$R$14:$R$38,"Нема",$S$14:$S$38,"Ламінат",$O$14:$O$38,1)+SUMIFS($T$14:$T$38,$P$14:$P$38,"Матове",$Q$14:$Q$38,"Закрита пора",$F$14:$F$38,8,$R$14:$R$38,"Нема",$S$14:$S$38,"Ламінат",$O$14:$O$38,1)+SUMIFS($T$14:$T$38,$P$14:$P$38,"Матове",$Q$14:$Q$38,"Закрита пора",$F$14:$F$38,6,$R$14:$R$38,"Нема",$S$14:$S$38,"Ламінат",$O$14:$O$38,1)+SUMIFS($T$14:$T$38,$P$14:$P$38,"Матове",$Q$14:$Q$38,"Закрита пора",$F$14:$F$38,4,$R$14:$R$38,"Нема",$S$14:$S$38,"Ламінат",$O$14:$O$38,1)</f>
        <v>0</v>
      </c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7" t="s">
        <v>12</v>
      </c>
      <c r="AP92" s="258">
        <f>AP87-AP88</f>
        <v>0</v>
      </c>
    </row>
    <row r="93" spans="2:42" ht="15.75" x14ac:dyDescent="0.25">
      <c r="B93" s="253" t="s">
        <v>301</v>
      </c>
      <c r="C93" s="254"/>
      <c r="D93" s="254"/>
      <c r="E93" s="254"/>
      <c r="F93" s="254"/>
      <c r="G93" s="254"/>
      <c r="H93" s="254"/>
      <c r="I93" s="254"/>
      <c r="J93" s="254" t="s">
        <v>296</v>
      </c>
      <c r="K93" s="255">
        <f>SUMIFS($AP$21:$AP$65,$AB$21:$AB$65,"Матове",$AC$21:$AC$65,"Закрита  пора",$F$21:$F$65,16,$AD$21:$AD$65,"Ламінат",$AA$21:$AA$65,2)+SUMIFS($AP$21:$AP$65,$AB$21:$AB$65,"Матове",$AC$21:$AC$65,"Закрита  пора",$F$21:$F$65,10,$AD$21:$AD$65,"Ламінат",$AA$21:$AA$65,2)+SUMIFS($AP$21:$AP$65,$AB$21:$AB$65,"Матове",$AC$21:$AC$65,"Закрита  пора",$F$21:$F$65,8,$AD$21:$AD$65,"Ламінат",$AA$21:$AA$65,2)+SUMIFS($AP$21:$AP$65,$AB$21:$AB$65,"Матове",$AC$21:$AC$65,"Закрита  пора",$F$21:$F$65,6,$AD$21:$AD$65,"Ламінат",$AA$21:$AA$65,2)+SUMIFS($AP$21:$AP$65,$AB$21:$AB$65,"Матове",$AC$21:$AC$65,"Закрита  пора",$F$21:$F$65,4,$AD$21:$AD$65,"Ламінат",$AA$21:$AA$65,2)</f>
        <v>0</v>
      </c>
      <c r="L93" s="256"/>
      <c r="M93" s="256">
        <f>Прайс!$G$20</f>
        <v>5070</v>
      </c>
      <c r="N93" s="257">
        <f t="shared" si="4"/>
        <v>0</v>
      </c>
      <c r="O93" s="255">
        <f>SUMIFS($T$14:$T$38,$P$14:$P$38,"Матове",$Q$14:$Q$38,"Закрита пора",$F$14:$F$38,16,$R$14:$R$38,"Нема",$S$14:$S$38,"Ламінат",$O$14:$O$38,2)+SUMIFS($T$14:$T$38,$P$14:$P$38,"Матове",$Q$14:$Q$38,"Закрита пора",$F$14:$F$38,10,$R$14:$R$38,"Нема",$S$14:$S$38,"Ламінат",$O$14:$O$38,2)+SUMIFS($T$14:$T$38,$P$14:$P$38,"Матове",$Q$14:$Q$38,"Закрита пора",$F$14:$F$38,8,$R$14:$R$38,"Нема",$S$14:$S$38,"Ламінат",$O$14:$O$38,2)+SUMIFS($T$14:$T$38,$P$14:$P$38,"Матове",$Q$14:$Q$38,"Закрита пора",$F$14:$F$38,6,$R$14:$R$38,"Нема",$S$14:$S$38,"Ламінат",$O$14:$O$38,2)+SUMIFS($T$14:$T$38,$P$14:$P$38,"Матове",$Q$14:$Q$38,"Закрита пора",$F$14:$F$38,4,$R$14:$R$38,"Нема",$S$14:$S$38,"Ламінат",$O$14:$O$38,2)</f>
        <v>0</v>
      </c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12"/>
    </row>
    <row r="94" spans="2:42" ht="15.75" x14ac:dyDescent="0.25">
      <c r="B94" s="162" t="s">
        <v>302</v>
      </c>
      <c r="C94" s="167"/>
      <c r="D94" s="167"/>
      <c r="E94" s="167"/>
      <c r="F94" s="167"/>
      <c r="G94" s="167"/>
      <c r="H94" s="167"/>
      <c r="I94" s="167"/>
      <c r="J94" s="167" t="s">
        <v>296</v>
      </c>
      <c r="K94" s="255">
        <f>SUMIFS($AP$21:$AP$65,$AB$21:$AB$65,"Матове",$AC$21:$AC$65,"Закрита пора",$F$21:$F$65,19,$AD$21:$AD$65,"Ламінат",$AA$21:$AA$65,1)</f>
        <v>0</v>
      </c>
      <c r="L94" s="256"/>
      <c r="M94" s="256">
        <f>Прайс!$I$19</f>
        <v>4944</v>
      </c>
      <c r="N94" s="257">
        <f t="shared" si="4"/>
        <v>0</v>
      </c>
      <c r="O94" s="256">
        <f>SUMIFS($U$14:$U$38,$P$14:$P$38,"Матове",$Q$14:$Q$38,"Закрита пора",$F$14:$F$38,19,$R$14:$R$38,"Нема",$S$14:$S$38,"Ламінат",$O$14:$O$38,1)</f>
        <v>0</v>
      </c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12"/>
    </row>
    <row r="95" spans="2:42" ht="15.75" x14ac:dyDescent="0.25">
      <c r="B95" s="162" t="s">
        <v>303</v>
      </c>
      <c r="C95" s="167"/>
      <c r="D95" s="167"/>
      <c r="E95" s="167"/>
      <c r="F95" s="167"/>
      <c r="G95" s="167"/>
      <c r="H95" s="167"/>
      <c r="I95" s="167"/>
      <c r="J95" s="167" t="s">
        <v>296</v>
      </c>
      <c r="K95" s="255">
        <f>SUMIFS($AP$21:$AP$65,$AB$21:$AB$65,"Матове",$AC$21:$AC$65,"Закрита пора",$F$21:$F$65,19,$AD$21:$AD$65,"Ламінат",$AA$21:$AA$65,2)</f>
        <v>0</v>
      </c>
      <c r="L95" s="256"/>
      <c r="M95" s="256">
        <f>Прайс!$I$20</f>
        <v>5140</v>
      </c>
      <c r="N95" s="257">
        <f t="shared" si="4"/>
        <v>0</v>
      </c>
      <c r="O95" s="256">
        <f>SUMIFS($U$14:$U$38,$P$14:$P$38,"Матове",$Q$14:$Q$38,"Закрита пора",$F$14:$F$38,19,$R$14:$R$38,"Нема",$S$14:$S$38,"Ламінат",$O$14:$O$38,2)</f>
        <v>0</v>
      </c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12"/>
    </row>
    <row r="96" spans="2:42" ht="15.75" x14ac:dyDescent="0.25">
      <c r="B96" s="325" t="s">
        <v>377</v>
      </c>
      <c r="C96" s="326"/>
      <c r="D96" s="326"/>
      <c r="E96" s="326"/>
      <c r="F96" s="326"/>
      <c r="G96" s="326"/>
      <c r="H96" s="326"/>
      <c r="I96" s="326"/>
      <c r="J96" s="326" t="s">
        <v>296</v>
      </c>
      <c r="K96" s="255">
        <f>SUMIFS($AP$21:$AP$65,$AB$21:$AB$65,"Матове",$AC$21:$AC$65,"Закрита пора",$F$21:$F$65,22,$AD$21:$AD$65,"Ламінат",$AA$21:$AA$65,1)</f>
        <v>0</v>
      </c>
      <c r="L96" s="327"/>
      <c r="M96" s="256">
        <f>Прайс!$I$19+700</f>
        <v>5644</v>
      </c>
      <c r="N96" s="257">
        <f t="shared" si="4"/>
        <v>0</v>
      </c>
      <c r="O96" s="327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12"/>
    </row>
    <row r="97" spans="1:42" ht="15.75" x14ac:dyDescent="0.25">
      <c r="B97" s="325" t="s">
        <v>378</v>
      </c>
      <c r="C97" s="326"/>
      <c r="D97" s="326"/>
      <c r="E97" s="326"/>
      <c r="F97" s="326"/>
      <c r="G97" s="326"/>
      <c r="H97" s="326"/>
      <c r="I97" s="326"/>
      <c r="J97" s="326" t="s">
        <v>296</v>
      </c>
      <c r="K97" s="255">
        <f>SUMIFS($AP$21:$AP$65,$AB$21:$AB$65,"Матове",$AC$21:$AC$65,"Закрита пора",$F$21:$F$65,22,$AD$21:$AD$65,"Ламінат",$AA$21:$AA$65,2)</f>
        <v>0</v>
      </c>
      <c r="L97" s="327"/>
      <c r="M97" s="256">
        <f>Прайс!$I$20+700</f>
        <v>5840</v>
      </c>
      <c r="N97" s="257">
        <f t="shared" si="4"/>
        <v>0</v>
      </c>
      <c r="O97" s="327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12"/>
    </row>
    <row r="98" spans="1:42" ht="15.75" x14ac:dyDescent="0.25">
      <c r="B98" s="253" t="s">
        <v>304</v>
      </c>
      <c r="C98" s="254"/>
      <c r="D98" s="254"/>
      <c r="E98" s="254"/>
      <c r="F98" s="254"/>
      <c r="G98" s="254"/>
      <c r="H98" s="254"/>
      <c r="I98" s="254"/>
      <c r="J98" s="254" t="s">
        <v>296</v>
      </c>
      <c r="K98" s="255">
        <f>SUMIFS($AP$21:$AP$65,$AB$21:$AB$65,"Глянець",$AC$21:$AC$65,"Закрита пора",$F$21:$F$65,16,$AD$21:$AD$65,"Ламінат",$AA$21:$AA$65,1)+SUMIFS($AP$21:$AP$65,$AB$21:$AB$65,"Глянець",$AC$21:$AC$65,"Закрита  пора",$F$21:$F$65,10,$AD$21:$AD$65,"Ламінат",$AA$21:$AA$65,1)+SUMIFS($AP$21:$AP$65,$AB$21:$AB$65,"Глянець",$AC$21:$AC$65,"Закрита  пора",$F$21:$F$65,8,$AD$21:$AD$65,"Ламінат",$AA$21:$AA$65,1)+SUMIFS($AP$21:$AP$65,$AB$21:$AB$65,"Глянець",$AC$21:$AC$65,"Закрита  пора",$F$21:$F$65,6,$AD$21:$AD$65,"Ламінат",$AA$21:$AA$65,1)+SUMIFS($AP$21:$AP$65,$AB$21:$AB$65,"Глянець",$AC$21:$AC$65,"Закрита  пора",$F$21:$F$65,4,$AD$21:$AD$65,"Ламінат",$AA$21:$AA$65,1)</f>
        <v>0</v>
      </c>
      <c r="L98" s="256"/>
      <c r="M98" s="256">
        <f>Прайс!$G$21</f>
        <v>5154</v>
      </c>
      <c r="N98" s="257">
        <f t="shared" si="4"/>
        <v>0</v>
      </c>
      <c r="O98" s="255">
        <f>SUMIFS($T$14:$T$38,$P$14:$P$38,"Глянець",$Q$14:$Q$38,"Закрита пора",$F$14:$F$38,16,$R$14:$R$38,"Нема",$S$14:$S$38,"Ламінат",$O$14:$O$38,1)+SUMIFS($T$14:$T$38,$P$14:$P$38,"Глянець",$Q$14:$Q$38,"Закрита пора",$F$14:$F$38,10,$R$14:$R$38,"Нема",$S$14:$S$38,"Ламінат",$O$14:$O$38,1)+SUMIFS($T$14:$T$38,$P$14:$P$38,"Глянець",$Q$14:$Q$38,"Закрита пора",$F$14:$F$38,8,$R$14:$R$38,"Нема",$S$14:$S$38,"Ламінат",$O$14:$O$38,1)+SUMIFS($T$14:$T$38,$P$14:$P$38,"Глянець",$Q$14:$Q$38,"Закрита пора",$F$14:$F$38,6,$R$14:$R$38,"Нема",$S$14:$S$38,"Ламінат",$O$14:$O$38,1)+SUMIFS($T$14:$T$38,$P$14:$P$38,"Глянець",$Q$14:$Q$38,"Закрита пора",$F$14:$F$38,4,$R$14:$R$38,"Нема",$S$14:$S$38,"Ламінат",$O$14:$O$38,1)</f>
        <v>0</v>
      </c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12"/>
    </row>
    <row r="99" spans="1:42" ht="15.75" x14ac:dyDescent="0.25">
      <c r="B99" s="253" t="s">
        <v>305</v>
      </c>
      <c r="C99" s="254"/>
      <c r="D99" s="254"/>
      <c r="E99" s="254"/>
      <c r="F99" s="254"/>
      <c r="G99" s="254"/>
      <c r="H99" s="254"/>
      <c r="I99" s="254"/>
      <c r="J99" s="254" t="s">
        <v>296</v>
      </c>
      <c r="K99" s="255">
        <f>SUMIFS($AP$21:$AP$65,$AB$21:$AB$65,"Глянець",$AC$21:$AC$65,"Закрита  пора",$F$21:$F$65,16,$AD$21:$AD$65,"Ламінат",$AA$21:$AA$65,2)+SUMIFS($AP$21:$AP$65,$AB$21:$AB$65,"Глянець",$AC$21:$AC$65,"Закрита  пора",$F$21:$F$65,10,$AD$21:$AD$65,"Ламінат",$AA$21:$AA$65,2)+SUMIFS($AP$21:$AP$65,$AB$21:$AB$65,"Глянець",$AC$21:$AC$65,"Закрита  пора",$F$21:$F$65,8,$AD$21:$AD$65,"Ламінат",$AA$21:$AA$65,2)+SUMIFS($AP$21:$AP$65,$AB$21:$AB$65,"Глянець",$AC$21:$AC$65,"Закрита  пора",$F$21:$F$65,6,$AD$21:$AD$65,"Ламінат",$AA$21:$AA$65,2)+SUMIFS($AP$21:$AP$65,$AB$21:$AB$65,"Глянець",$AC$21:$AC$65,"Закрита  пора",$F$21:$F$65,4,$AD$21:$AD$65,"Ламінат",$AA$21:$AA$65,2)</f>
        <v>0</v>
      </c>
      <c r="L99" s="256"/>
      <c r="M99" s="256">
        <f>Прайс!$G$22</f>
        <v>5350</v>
      </c>
      <c r="N99" s="257">
        <f t="shared" si="4"/>
        <v>0</v>
      </c>
      <c r="O99" s="255">
        <f>SUMIFS($T$14:$T$38,$P$14:$P$38,"Глянець",$Q$14:$Q$38,"Закрита пора",$F$14:$F$38,16,$R$14:$R$38,"Нема",$S$14:$S$38,"Ламінат",$O$14:$O$38,2)+SUMIFS($T$14:$T$38,$P$14:$P$38,"Глянець",$Q$14:$Q$38,"Закрита пора",$F$14:$F$38,10,$R$14:$R$38,"Нема",$S$14:$S$38,"Ламінат",$O$14:$O$38,2)+SUMIFS($T$14:$T$38,$P$14:$P$38,"Глянець",$Q$14:$Q$38,"Закрита пора",$F$14:$F$38,8,$R$14:$R$38,"Нема",$S$14:$S$38,"Ламінат",$O$14:$O$38,2)+SUMIFS($T$14:$T$38,$P$14:$P$38,"Глянець",$Q$14:$Q$38,"Закрита пора",$F$14:$F$38,6,$R$14:$R$38,"Нема",$S$14:$S$38,"Ламінат",$O$14:$O$38,2)+SUMIFS($T$14:$T$38,$P$14:$P$38,"Глянець",$Q$14:$Q$38,"Закрита пора",$F$14:$F$38,4,$R$14:$R$38,"Нема",$S$14:$S$38,"Ламінат",$O$14:$O$38,2)</f>
        <v>0</v>
      </c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12"/>
    </row>
    <row r="100" spans="1:42" ht="15.75" x14ac:dyDescent="0.25">
      <c r="B100" s="162" t="s">
        <v>306</v>
      </c>
      <c r="C100" s="167"/>
      <c r="D100" s="167"/>
      <c r="E100" s="167"/>
      <c r="F100" s="167"/>
      <c r="G100" s="167"/>
      <c r="H100" s="167"/>
      <c r="I100" s="167"/>
      <c r="J100" s="167" t="s">
        <v>296</v>
      </c>
      <c r="K100" s="255">
        <f>SUMIFS($AP$21:$AP$65,$AB$21:$AB$65,"Глянець",$AC$21:$AC$65,"Закрита пора",$F$21:$F$65,19,$AD$21:$AD$65,"Ламінат",$AA$21:$AA$65,1)</f>
        <v>0</v>
      </c>
      <c r="L100" s="256"/>
      <c r="M100" s="256">
        <f>Прайс!$I$21</f>
        <v>5224</v>
      </c>
      <c r="N100" s="257">
        <f t="shared" si="4"/>
        <v>0</v>
      </c>
      <c r="O100" s="256">
        <f>SUMIFS($U$14:$U$38,$P$14:$P$38,"Глянець",$Q$14:$Q$38,"Закрита пора",$F$14:$F$38,19,$R$14:$R$38,"Нема",$S$14:$S$38,"Ламінат",$O$14:$O$38,1)</f>
        <v>0</v>
      </c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12"/>
    </row>
    <row r="101" spans="1:42" ht="15.75" x14ac:dyDescent="0.25">
      <c r="B101" s="162" t="s">
        <v>307</v>
      </c>
      <c r="C101" s="167"/>
      <c r="D101" s="167"/>
      <c r="E101" s="167"/>
      <c r="F101" s="167"/>
      <c r="G101" s="167"/>
      <c r="H101" s="167"/>
      <c r="I101" s="167"/>
      <c r="J101" s="167" t="s">
        <v>296</v>
      </c>
      <c r="K101" s="259">
        <f>SUMIFS($AP$21:$AP$65,$AB$21:$AB$65,"Глянець",$AC$21:$AC$65,"Закрита пора",$F$21:$F$65,19,$AD$21:$AD$65,"Ламінат",$AA$21:$AA$65,2)</f>
        <v>0</v>
      </c>
      <c r="L101" s="260"/>
      <c r="M101" s="260">
        <f>Прайс!$I$22</f>
        <v>5420</v>
      </c>
      <c r="N101" s="261">
        <f t="shared" si="4"/>
        <v>0</v>
      </c>
      <c r="O101" s="260">
        <f>SUMIFS($U$14:$U$38,$P$14:$P$38,"Глянець",$Q$14:$Q$38,"Закрита пора",$F$14:$F$38,19,$R$14:$R$38,"Нема",$S$14:$S$38,"Ламінат",$O$14:$O$38,2)</f>
        <v>0</v>
      </c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12"/>
    </row>
    <row r="102" spans="1:42" ht="15.75" x14ac:dyDescent="0.25">
      <c r="B102" s="325" t="s">
        <v>379</v>
      </c>
      <c r="C102" s="326"/>
      <c r="D102" s="326"/>
      <c r="E102" s="326"/>
      <c r="F102" s="326"/>
      <c r="G102" s="326"/>
      <c r="H102" s="326"/>
      <c r="I102" s="326"/>
      <c r="J102" s="326" t="s">
        <v>296</v>
      </c>
      <c r="K102" s="255">
        <f>SUMIFS($AP$21:$AP$65,$AB$21:$AB$65,"Глянець",$AC$21:$AC$65,"Закрита пора",$F$21:$F$65,22,$AD$21:$AD$65,"Ламінат",$AA$21:$AA$65,1)</f>
        <v>0</v>
      </c>
      <c r="L102" s="328"/>
      <c r="M102" s="256">
        <f>Прайс!$I$21+700</f>
        <v>5924</v>
      </c>
      <c r="N102" s="261">
        <f t="shared" si="4"/>
        <v>0</v>
      </c>
      <c r="O102" s="328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12"/>
    </row>
    <row r="103" spans="1:42" ht="16.5" thickBot="1" x14ac:dyDescent="0.3">
      <c r="B103" s="325" t="s">
        <v>380</v>
      </c>
      <c r="C103" s="326"/>
      <c r="D103" s="326"/>
      <c r="E103" s="326"/>
      <c r="F103" s="326"/>
      <c r="G103" s="326"/>
      <c r="H103" s="326"/>
      <c r="I103" s="326"/>
      <c r="J103" s="326" t="s">
        <v>296</v>
      </c>
      <c r="K103" s="259">
        <f>SUMIFS($AP$21:$AP$65,$AB$21:$AB$65,"Глянець",$AC$21:$AC$65,"Закрита пора",$F$21:$F$65,22,$AD$21:$AD$65,"Ламінат",$AA$21:$AA$65,2)</f>
        <v>0</v>
      </c>
      <c r="L103" s="328"/>
      <c r="M103" s="260">
        <f>Прайс!$I$22+700</f>
        <v>6120</v>
      </c>
      <c r="N103" s="261">
        <f t="shared" si="4"/>
        <v>0</v>
      </c>
      <c r="O103" s="328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12"/>
    </row>
    <row r="104" spans="1:42" ht="15.75" x14ac:dyDescent="0.25">
      <c r="A104" s="262"/>
      <c r="B104" s="263" t="s">
        <v>308</v>
      </c>
      <c r="C104" s="264"/>
      <c r="D104" s="264"/>
      <c r="E104" s="264"/>
      <c r="F104" s="264"/>
      <c r="G104" s="264"/>
      <c r="H104" s="264"/>
      <c r="I104" s="264"/>
      <c r="J104" s="264" t="s">
        <v>296</v>
      </c>
      <c r="K104" s="265">
        <f>SUMIFS($AP$21:$AP$65,$AB$21:$AB$65,"Матове",$AC$21:$AC$65,"Відкрита пора",$F$21:$F$65,16,$AD$21:$AD$65,"Матове",$AE$21:$AE$65,"Відкрита пора",$AA$21:$AA$65,1)+SUMIFS($AP$21:$AP$65,$AB$21:$AB$65,"Матове",$AC$21:$AC$65,"Відкрита пора",$F$21:$F$65,10,$AD$21:$AD$65,"Матове",$AE$21:$AE$65,"Відкрита пора",$AA$21:$AA$65,1)+SUMIFS($AP$21:$AP$65,$AB$21:$AB$65,"Матове",$AC$21:$AC$65,"Відкрита пора",$F$21:$F$65,8,$AD$21:$AD$65,"Матове",$AE$21:$AE$65,"Відкрита пора",$AA$21:$AA$65,1)+SUMIFS($AP$21:$AP$65,$AB$21:$AB$65,"Матове",$AC$21:$AC$65,"Відкрита пора",$F$21:$F$65,6,$AD$21:$AD$65,"Матове",$AE$21:$AE$65,"Відкрита пора",$AA$21:$AA$65,1)+SUMIFS($AP$21:$AP$65,$AB$21:$AB$65,"Матове",$AC$21:$AC$65,"Відкрита пора",$F$21:$F$65,4,$AD$21:$AD$65,"Матове",$AE$21:$AE$65,"Відкрита пора",$AA$21:$AA$65,1)</f>
        <v>0</v>
      </c>
      <c r="L104" s="266"/>
      <c r="M104" s="266">
        <f>Прайс!$G$23</f>
        <v>7814</v>
      </c>
      <c r="N104" s="267">
        <f t="shared" si="4"/>
        <v>0</v>
      </c>
      <c r="O104" s="268">
        <f>SUMIFS($T$14:$T$38,$P$14:$P$38,"Матове",$Q$14:$Q$38,"Відкрита пора",$F$14:$F$38,16,$R$14:$R$38,"Матове",$S$14:$S$38,"Відкрита пора",$O$14:$O$38,1)+SUMIFS($T$14:$T$38,$P$14:$P$38,"Матове",$Q$14:$Q$38,"Відкрита пора",$F$14:$F$38,10,$R$14:$R$38,"Матове",$S$14:$S$38,"Відкрита пора",$O$14:$O$38,1)+SUMIFS($T$14:$T$38,$P$14:$P$38,"Матове",$Q$14:$Q$38,"Відкрита пора",$F$14:$F$38,8,$R$14:$R$38,"Матове",$S$14:$S$38,"Відкрита пора",$O$14:$O$38,1)+SUMIFS($T$14:$T$38,$P$14:$P$38,"Матове",$Q$14:$Q$38,"Відкрита пора",$F$14:$F$38,6,$R$14:$R$38,"Матове",$S$14:$S$38,"Відкрита пора",$O$14:$O$38,1)+SUMIFS($T$14:$T$38,$P$14:$P$38,"Матове",$Q$14:$Q$38,"Відкрита пора",$F$14:$F$38,4,$R$14:$R$38,"Матове",$S$14:$S$38,"Відкрита пора",$O$14:$O$38,1)</f>
        <v>0</v>
      </c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12"/>
    </row>
    <row r="105" spans="1:42" ht="15.75" x14ac:dyDescent="0.25">
      <c r="A105" s="269"/>
      <c r="B105" s="323" t="s">
        <v>309</v>
      </c>
      <c r="C105" s="324"/>
      <c r="D105" s="324"/>
      <c r="E105" s="324"/>
      <c r="F105" s="324"/>
      <c r="G105" s="324"/>
      <c r="H105" s="324"/>
      <c r="I105" s="324"/>
      <c r="J105" s="324" t="s">
        <v>296</v>
      </c>
      <c r="K105" s="318">
        <f>SUMIFS($AP$21:$AP$65,$AB$21:$AB$65,"Матове",$AC$21:$AC$65,"Відкрита пора",$F$21:$F$65,16,$AD$21:$AD$65,"Матове",$AE$21:$AE$65,"Відкрита пора",$AA$21:$AA$65,2)+SUMIFS($AP$21:$AP$65,$AB$21:$AB$65,"Матове",$AC$21:$AC$65,"Відкрита пора",$F$21:$F$65,10,$AD$21:$AD$65,"Матове",$AE$21:$AE$65,"Відкрита пора",$AA$21:$AA$65,2)+SUMIFS($AP$21:$AP$65,$AB$21:$AB$65,"Матове",$AC$21:$AC$65,"Відкрита пора",$F$21:$F$65,8,$AD$21:$AD$65,"Матове",$AE$21:$AE$65,"Відкрита пора",$AA$21:$AA$65,2)+SUMIFS($AP$21:$AP$65,$AB$21:$AB$65,"Матове",$AC$21:$AC$65,"Відкрита пора",$F$21:$F$65,6,$AD$21:$AD$65,"Матове",$AE$21:$AE$65,"Відкрита пора",$AA$21:$AA$65,2)+SUMIFS($AP$21:$AP$65,$AB$21:$AB$65,"Матове",$AC$21:$AC$65,"Відкрита пора",$F$21:$F$65,4,$AD$21:$AD$65,"Матове",$AE$21:$AE$65,"Відкрита пора",$AA$21:$AA$65,2)</f>
        <v>0</v>
      </c>
      <c r="L105" s="319"/>
      <c r="M105" s="319">
        <f>Прайс!$G$24</f>
        <v>8010</v>
      </c>
      <c r="N105" s="320">
        <f t="shared" si="4"/>
        <v>0</v>
      </c>
      <c r="O105" s="270">
        <f>SUMIFS($T$14:$T$38,$P$14:$P$38,"Матове",$Q$14:$Q$38,"Відкрита пора",$F$14:$F$38,16,$R$14:$R$38,"Матове",$S$14:$S$38,"Відкрита пора",$O$14:$O$38,2)+SUMIFS($T$14:$T$38,$P$14:$P$38,"Матове",$Q$14:$Q$38,"Відкрита пора",$F$14:$F$38,10,$R$14:$R$38,"Матове",$S$14:$S$38,"Відкрита пора",$O$14:$O$38,2)+SUMIFS($T$14:$T$38,$P$14:$P$38,"Матове",$Q$14:$Q$38,"Відкрита пора",$F$14:$F$38,8,$R$14:$R$38,"Матове",$S$14:$S$38,"Відкрита пора",$O$14:$O$38,2)+SUMIFS($T$14:$T$38,$P$14:$P$38,"Матове",$Q$14:$Q$38,"Відкрита пора",$F$14:$F$38,6,$R$14:$R$38,"Матове",$S$14:$S$38,"Відкрита пора",$O$14:$O$38,2)+SUMIFS($T$14:$T$38,$P$14:$P$38,"Матове",$Q$14:$Q$38,"Відкрита пора",$F$14:$F$38,4,$R$14:$R$38,"Матове",$S$14:$S$38,"Відкрита пора",$O$14:$O$38,2)</f>
        <v>0</v>
      </c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 s="162"/>
      <c r="AC105" s="162"/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12"/>
    </row>
    <row r="106" spans="1:42" ht="15.75" x14ac:dyDescent="0.25">
      <c r="A106" s="269"/>
      <c r="B106" s="321" t="s">
        <v>310</v>
      </c>
      <c r="C106" s="322"/>
      <c r="D106" s="322"/>
      <c r="E106" s="322"/>
      <c r="F106" s="322"/>
      <c r="G106" s="322"/>
      <c r="H106" s="322"/>
      <c r="I106" s="322"/>
      <c r="J106" s="322" t="s">
        <v>296</v>
      </c>
      <c r="K106" s="318">
        <f>SUMIFS($AP$21:$AP$65,$AB$21:$AB$65,"Матове",$AC$21:$AC$65,"Відкрита пора",$F$21:$F$65,19,$AD$21:$AD$65,"Матове",$AE$21:$AE$65,"Відкрита пора",$AA$21:$AA$65,1)</f>
        <v>0</v>
      </c>
      <c r="L106" s="319"/>
      <c r="M106" s="319">
        <f>Прайс!$I$23</f>
        <v>7884</v>
      </c>
      <c r="N106" s="320">
        <f t="shared" si="4"/>
        <v>0</v>
      </c>
      <c r="O106" s="271">
        <f>SUMIFS($U$14:$U$38,$P$14:$P$38,"Матове",$Q$14:$Q$38,"Відкрита пора",$F$14:$F$38,19,$R$14:$R$38,"Матове",$S$14:$S$38,"Відкрита пора",$O$14:$O$38,1)</f>
        <v>0</v>
      </c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12"/>
    </row>
    <row r="107" spans="1:42" ht="15.75" x14ac:dyDescent="0.25">
      <c r="A107" s="269"/>
      <c r="B107" s="321" t="s">
        <v>311</v>
      </c>
      <c r="C107" s="322"/>
      <c r="D107" s="322"/>
      <c r="E107" s="322"/>
      <c r="F107" s="322"/>
      <c r="G107" s="322"/>
      <c r="H107" s="322"/>
      <c r="I107" s="322"/>
      <c r="J107" s="322" t="s">
        <v>296</v>
      </c>
      <c r="K107" s="318">
        <f>SUMIFS($AP$21:$AP$65,$AB$21:$AB$65,"Матове",$AC$21:$AC$65,"Відкрита пора",$F$21:$F$65,19,$AD$21:$AD$65,"Матове",$AE$21:$AE$65,"Відкрита пора",$AA$21:$AA$65,2)</f>
        <v>0</v>
      </c>
      <c r="L107" s="319"/>
      <c r="M107" s="319">
        <f>Прайс!$I$24</f>
        <v>8080</v>
      </c>
      <c r="N107" s="320">
        <f t="shared" si="4"/>
        <v>0</v>
      </c>
      <c r="O107" s="271">
        <f>SUMIFS($W$14:$W$38,$P$14:$P$38,"Матове",$Q$14:$Q$38,"Відкрита пора",$F$14:$F$38,19,$R$14:$R$38,"Матове",$S$14:$S$38,"Відкрита пора",$O$14:$O$38,2)</f>
        <v>0</v>
      </c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12"/>
    </row>
    <row r="108" spans="1:42" ht="15.75" x14ac:dyDescent="0.25">
      <c r="A108" s="269"/>
      <c r="B108" s="329" t="s">
        <v>381</v>
      </c>
      <c r="C108" s="330"/>
      <c r="D108" s="330"/>
      <c r="E108" s="330"/>
      <c r="F108" s="330"/>
      <c r="G108" s="330"/>
      <c r="H108" s="330"/>
      <c r="I108" s="330"/>
      <c r="J108" s="330" t="s">
        <v>296</v>
      </c>
      <c r="K108" s="318">
        <f>SUMIFS($AP$21:$AP$65,$AB$21:$AB$65,"Матове",$AC$21:$AC$65,"Відкрита пора",$F$21:$F$65,22,$AD$21:$AD$65,"Матове",$AE$21:$AE$65,"Відкрита пора",$AA$21:$AA$65,1)</f>
        <v>0</v>
      </c>
      <c r="L108" s="328"/>
      <c r="M108" s="319">
        <f>Прайс!$I$23+700</f>
        <v>8584</v>
      </c>
      <c r="N108" s="320">
        <f t="shared" si="4"/>
        <v>0</v>
      </c>
      <c r="O108" s="331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12"/>
    </row>
    <row r="109" spans="1:42" ht="15.75" x14ac:dyDescent="0.25">
      <c r="A109" s="269"/>
      <c r="B109" s="329" t="s">
        <v>382</v>
      </c>
      <c r="C109" s="330"/>
      <c r="D109" s="330"/>
      <c r="E109" s="330"/>
      <c r="F109" s="330"/>
      <c r="G109" s="330"/>
      <c r="H109" s="330"/>
      <c r="I109" s="330"/>
      <c r="J109" s="330" t="s">
        <v>296</v>
      </c>
      <c r="K109" s="318">
        <f>SUMIFS($AP$21:$AP$65,$AB$21:$AB$65,"Матове",$AC$21:$AC$65,"Відкрита пора",$F$21:$F$65,22,$AD$21:$AD$65,"Матове",$AE$21:$AE$65,"Відкрита пора",$AA$21:$AA$65,2)</f>
        <v>0</v>
      </c>
      <c r="L109" s="328"/>
      <c r="M109" s="319">
        <f>Прайс!$I$24+700</f>
        <v>8780</v>
      </c>
      <c r="N109" s="320">
        <f t="shared" si="4"/>
        <v>0</v>
      </c>
      <c r="O109" s="331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12"/>
    </row>
    <row r="110" spans="1:42" ht="15.75" x14ac:dyDescent="0.25">
      <c r="A110" s="269"/>
      <c r="B110" s="323" t="s">
        <v>312</v>
      </c>
      <c r="C110" s="324"/>
      <c r="D110" s="324"/>
      <c r="E110" s="324"/>
      <c r="F110" s="324"/>
      <c r="G110" s="324"/>
      <c r="H110" s="324"/>
      <c r="I110" s="324"/>
      <c r="J110" s="324" t="s">
        <v>296</v>
      </c>
      <c r="K110" s="318">
        <f>SUMIFS($AP$21:$AP$65,$AB$21:$AB$65,"Матове",$AC$21:$AC$65,"Закрита пора",$F$21:$F$65,16,$AD$21:$AD$65,"Матове",$AE$21:$AE$65,"Відкрита пора",$AA$21:$AA$65,1)+SUMIFS($AP$21:$AP$65,$AB$21:$AB$65,"Матове",$AC$21:$AC$65,"Закрита пора",$F$21:$F$65,10,$AD$21:$AD$65,"Матове",$AE$21:$AE$65,"Відкрита пора",$AA$21:$AA$65,1)+SUMIFS($AP$21:$AP$65,$AB$21:$AB$65,"Матове",$AC$21:$AC$65,"Закрита пора",$F$21:$F$65,8,$AD$21:$AD$65,"Матове",$AE$21:$AE$65,"Відкрита пора",$AA$21:$AA$65,1)+SUMIFS($AP$21:$AP$65,$AB$21:$AB$65,"Матове",$AC$21:$AC$65,"Закрита пора",$F$21:$F$65,6,$AD$21:$AD$65,"Матове",$AE$21:$AE$65,"Відкрита пора",$AA$21:$AA$65,1)+SUMIFS($AP$21:$AP$65,$AB$21:$AB$65,"Матове",$AC$21:$AC$65,"Закрита пора",$F$21:$F$65,4,$AD$21:$AD$65,"Матове",$AE$21:$AE$65,"Відкрита пора",$AA$21:$AA$65,1)</f>
        <v>0</v>
      </c>
      <c r="L110" s="319"/>
      <c r="M110" s="319">
        <f>Прайс!$G$25</f>
        <v>8514</v>
      </c>
      <c r="N110" s="320">
        <f t="shared" si="4"/>
        <v>0</v>
      </c>
      <c r="O110" s="270">
        <f>SUMIFS($T$14:$T$38,$P$14:$P$38,"Матове",$Q$14:$Q$38,"Закрита пора",$F$14:$F$38,16,$R$14:$R$38,"Матове",$S$14:$S$38,"Відкрита пора",$O$14:$O$38,1)+SUMIFS($T$14:$T$38,$P$14:$P$38,"Матове",$Q$14:$Q$38,"Закрита пора",$F$14:$F$38,10,$R$14:$R$38,"Матове",$S$14:$S$38,"Відкрита пора",$O$14:$O$38,1)+SUMIFS($T$14:$T$38,$P$14:$P$38,"Матове",$Q$14:$Q$38,"Закрита пора",$F$14:$F$38,8,$R$14:$R$38,"Матове",$S$14:$S$38,"Відкрита пора",$O$14:$O$38,1)+SUMIFS($T$14:$T$38,$P$14:$P$38,"Матове",$Q$14:$Q$38,"Закрита пора",$F$14:$F$38,6,$R$14:$R$38,"Матове",$S$14:$S$38,"Відкрита пора",$O$14:$O$38,1)+SUMIFS($T$14:$T$38,$P$14:$P$38,"Матове",$Q$14:$Q$38,"Закрита пора",$F$14:$F$38,4,$R$14:$R$38,"Матове",$S$14:$S$38,"Відкрита пора",$O$14:$O$38,1)</f>
        <v>0</v>
      </c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 s="162"/>
      <c r="AC110" s="162"/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/>
      <c r="AN110" s="162"/>
      <c r="AO110" s="162"/>
      <c r="AP110" s="112"/>
    </row>
    <row r="111" spans="1:42" ht="15.75" x14ac:dyDescent="0.25">
      <c r="A111" s="269"/>
      <c r="B111" s="323" t="s">
        <v>313</v>
      </c>
      <c r="C111" s="324"/>
      <c r="D111" s="324"/>
      <c r="E111" s="324"/>
      <c r="F111" s="324"/>
      <c r="G111" s="324"/>
      <c r="H111" s="324"/>
      <c r="I111" s="324"/>
      <c r="J111" s="324" t="s">
        <v>296</v>
      </c>
      <c r="K111" s="318">
        <f>SUMIFS($AP$21:$AP$65,$AB$21:$AB$65,"Матове",$AC$21:$AC$65,"Закрита пора",$F$21:$F$65,16,$AD$21:$AD$65,"Матове",$AE$21:$AE$65,"Відкрита пора",$AA$21:$AA$65,2)+SUMIFS($AP$21:$AP$65,$AB$21:$AB$65,"Матове",$AC$21:$AC$65,"Закрита пора",$F$21:$F$65,10,$AD$21:$AD$65,"Матове",$AE$21:$AE$65,"Відкрита пора",$AA$21:$AA$65,2)+SUMIFS($AP$21:$AP$65,$AB$21:$AB$65,"Матове",$AC$21:$AC$65,"Закрита пора",$F$21:$F$65,8,$AD$21:$AD$65,"Матове",$AE$21:$AE$65,"Відкрита пора",$AA$21:$AA$65,2)+SUMIFS($AP$21:$AP$65,$AB$21:$AB$65,"Матове",$AC$21:$AC$65,"Закрита пора",$F$21:$F$65,6,$AD$21:$AD$65,"Матове",$AE$21:$AE$65,"Відкрита пора",$AA$21:$AA$65,2)+SUMIFS($AP$21:$AP$65,$AB$21:$AB$65,"Матове",$AC$21:$AC$65,"Закрита пора",$F$21:$F$65,4,$AD$21:$AD$65,"Матове",$AE$21:$AE$65,"Відкрита пора",$AA$21:$AA$65,2)</f>
        <v>0</v>
      </c>
      <c r="L111" s="319"/>
      <c r="M111" s="319">
        <f>Прайс!$G$26</f>
        <v>8710</v>
      </c>
      <c r="N111" s="320">
        <f t="shared" si="4"/>
        <v>0</v>
      </c>
      <c r="O111" s="270">
        <f>SUMIFS($T$14:$T$38,$P$14:$P$38,"Матове",$Q$14:$Q$38,"Закрита пора",$F$14:$F$38,16,$R$14:$R$38,"Матове",$S$14:$S$38,"Відкрита пора",$O$14:$O$38,2)+SUMIFS($T$14:$T$38,$P$14:$P$38,"Матове",$Q$14:$Q$38,"Закрита пора",$F$14:$F$38,10,$R$14:$R$38,"Матове",$S$14:$S$38,"Відкрита пора",$O$14:$O$38,2)+SUMIFS($T$14:$T$38,$P$14:$P$38,"Матове",$Q$14:$Q$38,"Закрита пора",$F$14:$F$38,8,$R$14:$R$38,"Матове",$S$14:$S$38,"Відкрита пора",$O$14:$O$38,2)+SUMIFS($T$14:$T$38,$P$14:$P$38,"Матове",$Q$14:$Q$38,"Закрита пора",$F$14:$F$38,6,$R$14:$R$38,"Матове",$S$14:$S$38,"Відкрита пора",$O$14:$O$38,2)+SUMIFS($T$14:$T$38,$P$14:$P$38,"Матове",$Q$14:$Q$38,"Закрита пора",$F$14:$F$38,4,$R$14:$R$38,"Матове",$S$14:$S$38,"Відкрита пора",$O$14:$O$38,2)</f>
        <v>0</v>
      </c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 s="162"/>
      <c r="AC111" s="162"/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/>
      <c r="AN111" s="162"/>
      <c r="AO111" s="162"/>
      <c r="AP111" s="112"/>
    </row>
    <row r="112" spans="1:42" ht="15.75" x14ac:dyDescent="0.25">
      <c r="A112" s="269"/>
      <c r="B112" s="321" t="s">
        <v>314</v>
      </c>
      <c r="C112" s="322"/>
      <c r="D112" s="322"/>
      <c r="E112" s="322"/>
      <c r="F112" s="322"/>
      <c r="G112" s="322"/>
      <c r="H112" s="322"/>
      <c r="I112" s="322"/>
      <c r="J112" s="322" t="s">
        <v>296</v>
      </c>
      <c r="K112" s="318">
        <f>SUMIFS($AP$21:$AP$65,$AB$21:$AB$65,"Матове",$AC$21:$AC$65,"Закрита пора",$F$21:$F$65,19,$AD$21:$AD$65,"Матове",$AE$21:$AE$65,"Відкрита пора",$AA$21:$AA$65,1)</f>
        <v>0</v>
      </c>
      <c r="L112" s="319"/>
      <c r="M112" s="319">
        <f>Прайс!$I$25</f>
        <v>8584</v>
      </c>
      <c r="N112" s="320">
        <f t="shared" si="4"/>
        <v>0</v>
      </c>
      <c r="O112" s="271">
        <f>SUMIFS($U$14:$U$38,$P$14:$P$38,"Матове",$Q$14:$Q$38,"Закрита пора",$F$14:$F$38,19,$R$14:$R$38,"Матове",$S$14:$S$38,"Відкрита пора",$O$14:$O$38,1)</f>
        <v>0</v>
      </c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12"/>
    </row>
    <row r="113" spans="1:42" ht="15.75" x14ac:dyDescent="0.25">
      <c r="A113" s="269"/>
      <c r="B113" s="321" t="s">
        <v>315</v>
      </c>
      <c r="C113" s="322"/>
      <c r="D113" s="322"/>
      <c r="E113" s="322"/>
      <c r="F113" s="322"/>
      <c r="G113" s="322"/>
      <c r="H113" s="322"/>
      <c r="I113" s="322"/>
      <c r="J113" s="322" t="s">
        <v>296</v>
      </c>
      <c r="K113" s="318">
        <f>SUMIFS($AP$21:$AP$65,$AB$21:$AB$65,"Матове",$AC$21:$AC$65,"Закрита пора",$F$21:$F$65,19,$AD$21:$AD$65,"Матове",$AE$21:$AE$65,"Відкрита пора",$AA$21:$AA$65,2)</f>
        <v>0</v>
      </c>
      <c r="L113" s="319"/>
      <c r="M113" s="319">
        <f>Прайс!$I$26</f>
        <v>8780</v>
      </c>
      <c r="N113" s="320">
        <f t="shared" si="4"/>
        <v>0</v>
      </c>
      <c r="O113" s="271">
        <f>SUMIFS($U$14:$U$38,$P$14:$P$38,"Матове",$Q$14:$Q$38,"Закрита пора",$F$14:$F$38,19,$R$14:$R$38,"Матове",$S$14:$S$38,"Відкрита пора",$O$14:$O$38,2)</f>
        <v>0</v>
      </c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12"/>
    </row>
    <row r="114" spans="1:42" ht="15.75" x14ac:dyDescent="0.25">
      <c r="A114" s="269"/>
      <c r="B114" s="329" t="s">
        <v>383</v>
      </c>
      <c r="C114" s="330"/>
      <c r="D114" s="330"/>
      <c r="E114" s="330"/>
      <c r="F114" s="330"/>
      <c r="G114" s="330"/>
      <c r="H114" s="330"/>
      <c r="I114" s="330"/>
      <c r="J114" s="330" t="s">
        <v>296</v>
      </c>
      <c r="K114" s="318">
        <f>SUMIFS($AP$21:$AP$65,$AB$21:$AB$65,"Матове",$AC$21:$AC$65,"Закрита пора",$F$21:$F$65,22,$AD$21:$AD$65,"Матове",$AE$21:$AE$65,"Відкрита пора",$AA$21:$AA$65,1)</f>
        <v>0</v>
      </c>
      <c r="L114" s="328"/>
      <c r="M114" s="319">
        <f>Прайс!$I$25+700</f>
        <v>9284</v>
      </c>
      <c r="N114" s="320">
        <f t="shared" si="4"/>
        <v>0</v>
      </c>
      <c r="O114" s="331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12"/>
    </row>
    <row r="115" spans="1:42" ht="15.75" x14ac:dyDescent="0.25">
      <c r="A115" s="269"/>
      <c r="B115" s="329" t="s">
        <v>384</v>
      </c>
      <c r="C115" s="330"/>
      <c r="D115" s="330"/>
      <c r="E115" s="330"/>
      <c r="F115" s="330"/>
      <c r="G115" s="330"/>
      <c r="H115" s="330"/>
      <c r="I115" s="330"/>
      <c r="J115" s="330" t="s">
        <v>296</v>
      </c>
      <c r="K115" s="318">
        <f>SUMIFS($AP$21:$AP$65,$AB$21:$AB$65,"Матове",$AC$21:$AC$65,"Закрита пора",$F$21:$F$65,22,$AD$21:$AD$65,"Матове",$AE$21:$AE$65,"Відкрита пора",$AA$21:$AA$65,2)</f>
        <v>0</v>
      </c>
      <c r="L115" s="328"/>
      <c r="M115" s="319">
        <f>Прайс!$I$26+700</f>
        <v>9480</v>
      </c>
      <c r="N115" s="320">
        <f t="shared" si="4"/>
        <v>0</v>
      </c>
      <c r="O115" s="331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12"/>
    </row>
    <row r="116" spans="1:42" ht="15.75" x14ac:dyDescent="0.25">
      <c r="A116" s="269"/>
      <c r="B116" s="323" t="s">
        <v>316</v>
      </c>
      <c r="C116" s="324"/>
      <c r="D116" s="324"/>
      <c r="E116" s="324"/>
      <c r="F116" s="324"/>
      <c r="G116" s="324"/>
      <c r="H116" s="324"/>
      <c r="I116" s="324"/>
      <c r="J116" s="324" t="s">
        <v>296</v>
      </c>
      <c r="K116" s="318">
        <f>SUMIFS($AP$21:$AP$65,$AB$21:$AB$65,"Глянець",$AC$21:$AC$65,"Закрита пора",$F$21:$F$65,16,$AD$21:$AD$65,"Матове",$AE$21:$AE$65,"Відкрита пора",$AA$21:$AA$65,1)+SUMIFS($AP$21:$AP$65,$AB$21:$AB$65,"Глянець",$AC$21:$AC$65,"Закрита пора",$F$21:$F$65,10,$AD$21:$AD$65,"Матове",$AE$21:$AE$65,"Відкрита пора",$AA$21:$AA$65,1)+SUMIFS($AP$21:$AP$65,$AB$21:$AB$65,"Глянець",$AC$21:$AC$65,"Закрита пора",$F$21:$F$65,8,$AD$21:$AD$65,"Матове",$AE$21:$AE$65,"Відкрита пора",$AA$21:$AA$65,1)+SUMIFS($AP$21:$AP$65,$AB$21:$AB$65,"Глянець",$AC$21:$AC$65,"Закрита пора",$F$21:$F$65,6,$AD$21:$AD$65,"Матове",$AE$21:$AE$65,"Відкрита пора",$AA$21:$AA$65,1)+SUMIFS($AP$21:$AP$65,$AB$21:$AB$65,"Глянець",$AC$21:$AC$65,"Закрита пора",$F$21:$F$65,4,$AD$21:$AD$65,"Матове",$AE$21:$AE$65,"Відкрита пора",$AA$21:$AA$65,1)</f>
        <v>0</v>
      </c>
      <c r="L116" s="319"/>
      <c r="M116" s="319">
        <f>Прайс!$G$27</f>
        <v>8794</v>
      </c>
      <c r="N116" s="320">
        <f t="shared" si="4"/>
        <v>0</v>
      </c>
      <c r="O116" s="270">
        <f>SUMIFS($T$14:$T$38,$P$14:$P$38,"Глянець",$Q$14:$Q$38,"Закрита пора",$F$14:$F$38,16,$R$14:$R$38,"Матове",$S$14:$S$38,"Відкрита пора",$O$14:$O$38,1)+SUMIFS($T$14:$T$38,$P$14:$P$38,"Глянець",$Q$14:$Q$38,"Закрита пора",$F$14:$F$38,10,$R$14:$R$38,"Матове",$S$14:$S$38,"Відкрита пора",$O$14:$O$38,1)+SUMIFS($T$14:$T$38,$P$14:$P$38,"Глянець",$Q$14:$Q$38,"Закрита пора",$F$14:$F$38,8,$R$14:$R$38,"Матове",$S$14:$S$38,"Відкрита пора",$O$14:$O$38,1)+SUMIFS($T$14:$T$38,$P$14:$P$38,"Глянець",$Q$14:$Q$38,"Закрита пора",$F$14:$F$38,6,$R$14:$R$38,"Матове",$S$14:$S$38,"Відкрита пора",$O$14:$O$38,1)+SUMIFS($T$14:$T$38,$P$14:$P$38,"Глянець",$Q$14:$Q$38,"Закрита пора",$F$14:$F$38,4,$R$14:$R$38,"Матове",$S$14:$S$38,"Відкрита пора",$O$14:$O$38,1)</f>
        <v>0</v>
      </c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12"/>
    </row>
    <row r="117" spans="1:42" ht="15.75" x14ac:dyDescent="0.25">
      <c r="A117" s="269"/>
      <c r="B117" s="323" t="s">
        <v>317</v>
      </c>
      <c r="C117" s="324"/>
      <c r="D117" s="324"/>
      <c r="E117" s="324"/>
      <c r="F117" s="324"/>
      <c r="G117" s="324"/>
      <c r="H117" s="324"/>
      <c r="I117" s="324"/>
      <c r="J117" s="324" t="s">
        <v>296</v>
      </c>
      <c r="K117" s="318">
        <f>SUMIFS($AP$21:$AP$65,$AB$21:$AB$65,"Глянець",$AC$21:$AC$65,"Закрита пора",$F$21:$F$65,16,$AD$21:$AD$65,"Матове",$AE$21:$AE$65,"Відкрита пора",$AA$21:$AA$65,2)+SUMIFS($AP$21:$AP$65,$AB$21:$AB$65,"Глянець",$AC$21:$AC$65,"Закрита пора",$F$21:$F$65,10,$AD$21:$AD$65,"Матове",$AE$21:$AE$65,"Відкрита пора",$AA$21:$AA$65,2)+SUMIFS($AP$21:$AP$65,$AB$21:$AB$65,"Глянець",$AC$21:$AC$65,"Закрита пора",$F$21:$F$65,8,$AD$21:$AD$65,"Матове",$AE$21:$AE$65,"Відкрита пора",$AA$21:$AA$65,2)+SUMIFS($AP$21:$AP$65,$AB$21:$AB$65,"Глянець",$AC$21:$AC$65,"Закрита пора",$F$21:$F$65,6,$AD$21:$AD$65,"Матове",$AE$21:$AE$65,"Відкрита пора",$AA$21:$AA$65,2)+SUMIFS($AP$21:$AP$65,$AB$21:$AB$65,"Глянець",$AC$21:$AC$65,"Закрита пора",$F$21:$F$65,4,$AD$21:$AD$65,"Матове",$AE$21:$AE$65,"Відкрита пора",$AA$21:$AA$65,2)</f>
        <v>0</v>
      </c>
      <c r="L117" s="319"/>
      <c r="M117" s="319">
        <f>Прайс!$G$28</f>
        <v>8990</v>
      </c>
      <c r="N117" s="320">
        <f t="shared" si="4"/>
        <v>0</v>
      </c>
      <c r="O117" s="270">
        <f>SUMIFS($T$14:$T$38,$P$14:$P$38,"Глянець",$Q$14:$Q$38,"Закрита пора",$F$14:$F$38,16,$R$14:$R$38,"Матове",$S$14:$S$38,"Відкрита пора",$O$14:$O$38,2)+SUMIFS($T$14:$T$38,$P$14:$P$38,"Глянець",$Q$14:$Q$38,"Закрита пора",$F$14:$F$38,10,$R$14:$R$38,"Матове",$S$14:$S$38,"Відкрита пора",$O$14:$O$38,2)+SUMIFS($T$14:$T$38,$P$14:$P$38,"Глянець",$Q$14:$Q$38,"Закрита пора",$F$14:$F$38,8,$R$14:$R$38,"Матове",$S$14:$S$38,"Відкрита пора",$O$14:$O$38,2)+SUMIFS($T$14:$T$38,$P$14:$P$38,"Глянець",$Q$14:$Q$38,"Закрита пора",$F$14:$F$38,6,$R$14:$R$38,"Матове",$S$14:$S$38,"Відкрита пора",$O$14:$O$38,2)+SUMIFS($T$14:$T$38,$P$14:$P$38,"Глянець",$Q$14:$Q$38,"Закрита пора",$F$14:$F$38,4,$R$14:$R$38,"Матове",$S$14:$S$38,"Відкрита пора",$O$14:$O$38,2)</f>
        <v>0</v>
      </c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12"/>
    </row>
    <row r="118" spans="1:42" ht="15.75" x14ac:dyDescent="0.25">
      <c r="A118" s="269"/>
      <c r="B118" s="321" t="s">
        <v>318</v>
      </c>
      <c r="C118" s="322"/>
      <c r="D118" s="322"/>
      <c r="E118" s="322"/>
      <c r="F118" s="322"/>
      <c r="G118" s="322"/>
      <c r="H118" s="322"/>
      <c r="I118" s="322"/>
      <c r="J118" s="322" t="s">
        <v>296</v>
      </c>
      <c r="K118" s="318">
        <f>SUMIFS($AP$21:$AP$65,$AB$21:$AB$65,"Глянець",$AC$21:$AC$65,"Закрита пора",$F$21:$F$65,19,$AD$21:$AD$65,"Матове",$AE$21:$AE$65,"Відкрита пора",$AA$21:$AA$65,1)</f>
        <v>0</v>
      </c>
      <c r="L118" s="319"/>
      <c r="M118" s="319">
        <f>Прайс!$I$27</f>
        <v>8864</v>
      </c>
      <c r="N118" s="320">
        <f t="shared" si="4"/>
        <v>0</v>
      </c>
      <c r="O118" s="271">
        <f>SUMIFS($U$14:$U$38,$P$14:$P$38,"Глянець",$Q$14:$Q$38,"Закрита пора",$F$14:$F$38,19,$R$14:$R$38,"Матове",$S$14:$S$38,"Відкрита пора",$O$14:$O$38,1)</f>
        <v>0</v>
      </c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12"/>
    </row>
    <row r="119" spans="1:42" ht="15.75" x14ac:dyDescent="0.25">
      <c r="A119" s="269"/>
      <c r="B119" s="321" t="s">
        <v>319</v>
      </c>
      <c r="C119" s="322"/>
      <c r="D119" s="322"/>
      <c r="E119" s="322"/>
      <c r="F119" s="322"/>
      <c r="G119" s="322"/>
      <c r="H119" s="322"/>
      <c r="I119" s="322"/>
      <c r="J119" s="322" t="s">
        <v>296</v>
      </c>
      <c r="K119" s="318">
        <f>SUMIFS($AP$21:$AP$65,$AB$21:$AB$65,"Глянець",$AC$21:$AC$65,"Закрита пора",$F$21:$F$65,19,$AD$21:$AD$65,"Матове",$AE$21:$AE$65,"Відкрита пора",$AA$21:$AA$65,2)</f>
        <v>0</v>
      </c>
      <c r="L119" s="319"/>
      <c r="M119" s="319">
        <f>Прайс!$I$28</f>
        <v>9060</v>
      </c>
      <c r="N119" s="320">
        <f t="shared" si="4"/>
        <v>0</v>
      </c>
      <c r="O119" s="271">
        <f>SUMIFS($U$14:$U$38,$P$14:$P$38,"Глянець",$Q$14:$Q$38,"Закрита пора",$F$14:$F$38,19,$R$14:$R$38,"Матове",$S$14:$S$38,"Відкрита пора",$O$14:$O$38,2)</f>
        <v>0</v>
      </c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12"/>
    </row>
    <row r="120" spans="1:42" ht="15.75" x14ac:dyDescent="0.25">
      <c r="A120" s="269"/>
      <c r="B120" s="329" t="s">
        <v>385</v>
      </c>
      <c r="C120" s="330"/>
      <c r="D120" s="330"/>
      <c r="E120" s="330"/>
      <c r="F120" s="330"/>
      <c r="G120" s="330"/>
      <c r="H120" s="330"/>
      <c r="I120" s="330"/>
      <c r="J120" s="330" t="s">
        <v>296</v>
      </c>
      <c r="K120" s="318">
        <f>SUMIFS($AP$21:$AP$65,$AB$21:$AB$65,"Глянець",$AC$21:$AC$65,"Закрита пора",$F$21:$F$65,22,$AD$21:$AD$65,"Матове",$AE$21:$AE$65,"Відкрита пора",$AA$21:$AA$65,1)</f>
        <v>0</v>
      </c>
      <c r="L120" s="328"/>
      <c r="M120" s="319">
        <f>Прайс!$I$27+700</f>
        <v>9564</v>
      </c>
      <c r="N120" s="320">
        <f t="shared" si="4"/>
        <v>0</v>
      </c>
      <c r="O120" s="331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12"/>
    </row>
    <row r="121" spans="1:42" ht="16.5" thickBot="1" x14ac:dyDescent="0.3">
      <c r="A121" s="272"/>
      <c r="B121" s="332" t="s">
        <v>386</v>
      </c>
      <c r="C121" s="333"/>
      <c r="D121" s="333"/>
      <c r="E121" s="333"/>
      <c r="F121" s="333"/>
      <c r="G121" s="333"/>
      <c r="H121" s="333"/>
      <c r="I121" s="333"/>
      <c r="J121" s="333" t="s">
        <v>296</v>
      </c>
      <c r="K121" s="318">
        <f>SUMIFS($AP$21:$AP$65,$AB$21:$AB$65,"Глянець",$AC$21:$AC$65,"Закрита пора",$F$21:$F$65,22,$AD$21:$AD$65,"Матове",$AE$21:$AE$65,"Відкрита пора",$AA$21:$AA$65,2)</f>
        <v>0</v>
      </c>
      <c r="L121" s="334"/>
      <c r="M121" s="319">
        <f>Прайс!$I$28+700</f>
        <v>9760</v>
      </c>
      <c r="N121" s="320">
        <f t="shared" si="4"/>
        <v>0</v>
      </c>
      <c r="O121" s="335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12"/>
    </row>
    <row r="122" spans="1:42" ht="15.75" x14ac:dyDescent="0.25">
      <c r="B122" s="253" t="s">
        <v>320</v>
      </c>
      <c r="C122" s="254"/>
      <c r="D122" s="254"/>
      <c r="E122" s="254"/>
      <c r="F122" s="254"/>
      <c r="G122" s="254"/>
      <c r="H122" s="254"/>
      <c r="I122" s="254"/>
      <c r="J122" s="254" t="s">
        <v>296</v>
      </c>
      <c r="K122" s="275">
        <f>SUMIFS($AP$72:$AP$76,$AB$72:$AB$76,"Матове",$AC$72:$AC$76,"Відкрита пора",$F$72:$F$76,16,$AD$72:$AD$76,"Ламінат",$AA$72:$AA$76,1)</f>
        <v>0</v>
      </c>
      <c r="L122" s="276"/>
      <c r="M122" s="276">
        <f>Прайс!$K$17</f>
        <v>7044</v>
      </c>
      <c r="N122" s="277">
        <f t="shared" si="4"/>
        <v>0</v>
      </c>
      <c r="O122" s="275">
        <f>SUMIFS($T$46:$T$50,$P$46:$P$50,"Матове",$Q$46:$Q$50,"Відкрита пора",$F$46:$F$50,16,$R$46:$R$50,"Нема",$S$46:$S$50,"Ламінат",$O$46:$O$50,1)</f>
        <v>0</v>
      </c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12"/>
    </row>
    <row r="123" spans="1:42" ht="15.75" x14ac:dyDescent="0.25">
      <c r="B123" s="253" t="s">
        <v>321</v>
      </c>
      <c r="C123" s="254"/>
      <c r="D123" s="254"/>
      <c r="E123" s="254"/>
      <c r="F123" s="254"/>
      <c r="G123" s="254"/>
      <c r="H123" s="254"/>
      <c r="I123" s="254"/>
      <c r="J123" s="254" t="s">
        <v>296</v>
      </c>
      <c r="K123" s="255">
        <f>SUMIFS($AP$72:$AP$76,$AB$72:$AB$76,"Матове",$AC$72:$AC$76,"Відкрита пора",$F$72:$F$76,16,$AD$72:$AD$76,"Ламінат",$AA$72:$AA$76,2)</f>
        <v>0</v>
      </c>
      <c r="L123" s="278"/>
      <c r="M123" s="278">
        <f>Прайс!$K$18</f>
        <v>7240</v>
      </c>
      <c r="N123" s="257">
        <f t="shared" si="4"/>
        <v>0</v>
      </c>
      <c r="O123" s="255">
        <f>SUMIFS($T$46:$T$50,$P$46:$P$50,"Матове",$Q$46:$Q$50,"Відкрита пора",$F$46:$F$50,16,$R$46:$R$50,"Нема",$S$46:$S$50,"Ламінат",$O$46:$O$50,2)</f>
        <v>0</v>
      </c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12"/>
    </row>
    <row r="124" spans="1:42" ht="15.75" x14ac:dyDescent="0.25">
      <c r="B124" s="162" t="s">
        <v>322</v>
      </c>
      <c r="C124" s="167"/>
      <c r="D124" s="167"/>
      <c r="E124" s="167"/>
      <c r="F124" s="167"/>
      <c r="G124" s="167"/>
      <c r="H124" s="167"/>
      <c r="I124" s="167"/>
      <c r="J124" s="167" t="s">
        <v>296</v>
      </c>
      <c r="K124" s="275">
        <f>SUMIFS($AP$72:$AP$76,$AB$72:$AB$76,"Матове",$AC$72:$AC$76,"Відкрита пора",$F$72:$F$76,19,$AD$72:$AD$76,"Ламінат",$AA$72:$AA$76,1)</f>
        <v>0</v>
      </c>
      <c r="L124" s="278"/>
      <c r="M124" s="278">
        <f>Прайс!$M$17</f>
        <v>7114</v>
      </c>
      <c r="N124" s="257">
        <f t="shared" si="4"/>
        <v>0</v>
      </c>
      <c r="O124" s="256">
        <f>SUMIFS($U$46:$U$50,$P$46:$P$50,"Матове",$Q$46:$Q$50,"Відкрита пора",$F$46:$F$50,19,$R$46:$R$50,"Нема",$S$46:$S$50,"Ламінат",$O$46:$O$50,1)</f>
        <v>0</v>
      </c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12"/>
    </row>
    <row r="125" spans="1:42" ht="15.75" x14ac:dyDescent="0.25">
      <c r="B125" s="162" t="s">
        <v>323</v>
      </c>
      <c r="C125" s="167"/>
      <c r="D125" s="167"/>
      <c r="E125" s="167"/>
      <c r="F125" s="167"/>
      <c r="G125" s="167"/>
      <c r="H125" s="167"/>
      <c r="I125" s="167"/>
      <c r="J125" s="167" t="s">
        <v>296</v>
      </c>
      <c r="K125" s="255">
        <f>SUMIFS($AP$72:$AP$76,$AB$72:$AB$76,"Матове",$AC$72:$AC$76,"Відкрита пора",$F$72:$F$76,19,$AD$72:$AD$76,"Ламінат",$AA$72:$AA$76,2)</f>
        <v>0</v>
      </c>
      <c r="L125" s="278"/>
      <c r="M125" s="278">
        <f>Прайс!$M$18</f>
        <v>7310</v>
      </c>
      <c r="N125" s="257">
        <f t="shared" si="4"/>
        <v>0</v>
      </c>
      <c r="O125" s="256">
        <f>SUMIFS($U$46:$U$50,$P$46:$P$50,"Матове",$Q$46:$Q$50,"Відкрита пора",$F$46:$F$50,19,$R$46:$R$50,"Нема",$S$46:$S$50,"Ламінат",$O$46:$O$50,2)</f>
        <v>0</v>
      </c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12"/>
    </row>
    <row r="126" spans="1:42" ht="15.75" x14ac:dyDescent="0.25">
      <c r="B126" s="253" t="s">
        <v>324</v>
      </c>
      <c r="C126" s="254"/>
      <c r="D126" s="254"/>
      <c r="E126" s="254"/>
      <c r="F126" s="254"/>
      <c r="G126" s="254"/>
      <c r="H126" s="254"/>
      <c r="I126" s="254"/>
      <c r="J126" s="254" t="s">
        <v>296</v>
      </c>
      <c r="K126" s="275">
        <f>SUMIFS($AP$72:$AP$76,$AB$72:$AB$76,"Матове",$AC$72:$AC$76,"Закрита пора",$F$72:$F$76,16,$AD$72:$AD$76,"Ламінат",$AA$72:$AA$76,1)</f>
        <v>0</v>
      </c>
      <c r="L126" s="278"/>
      <c r="M126" s="278">
        <f>Прайс!$K$19</f>
        <v>7674</v>
      </c>
      <c r="N126" s="257">
        <f t="shared" si="4"/>
        <v>0</v>
      </c>
      <c r="O126" s="255">
        <f>SUMIFS($T$46:$T$50,$P$46:$P$50,"Матове",$Q$46:$Q$50,"Закрита пора",$F$46:$F$50,16,$R$46:$R$50,"Нема",$S$46:$S$50,"Ламінат",$O$46:$O$50,1)</f>
        <v>0</v>
      </c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12"/>
    </row>
    <row r="127" spans="1:42" ht="15.75" x14ac:dyDescent="0.25">
      <c r="B127" s="253" t="s">
        <v>325</v>
      </c>
      <c r="C127" s="254"/>
      <c r="D127" s="254"/>
      <c r="E127" s="254"/>
      <c r="F127" s="254"/>
      <c r="G127" s="254"/>
      <c r="H127" s="254"/>
      <c r="I127" s="254"/>
      <c r="J127" s="254" t="s">
        <v>296</v>
      </c>
      <c r="K127" s="255">
        <f>SUMIFS($AP$72:$AP$76,$AB$72:$AB$76,"Матове",$AC$72:$AC$76,"Закрита пора",$F$72:$F$76,16,$AD$72:$AD$76,"Ламінат",$AA$72:$AA$76,2)</f>
        <v>0</v>
      </c>
      <c r="L127" s="278"/>
      <c r="M127" s="278">
        <f>Прайс!$K$20</f>
        <v>7870</v>
      </c>
      <c r="N127" s="257">
        <f t="shared" si="4"/>
        <v>0</v>
      </c>
      <c r="O127" s="255">
        <f>SUMIFS($T$46:$T$50,$P$46:$P$50,"Матове",$Q$46:$Q$50,"Закрита пора",$F$46:$F$50,16,$R$46:$R$50,"Нема",$S$46:$S$50,"Ламінат",$O$46:$O$50,2)</f>
        <v>0</v>
      </c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12"/>
    </row>
    <row r="128" spans="1:42" ht="15.75" customHeight="1" x14ac:dyDescent="0.25">
      <c r="B128" s="162" t="s">
        <v>326</v>
      </c>
      <c r="C128" s="167"/>
      <c r="D128" s="167"/>
      <c r="E128" s="167"/>
      <c r="F128" s="167"/>
      <c r="G128" s="167"/>
      <c r="H128" s="167"/>
      <c r="I128" s="167"/>
      <c r="J128" s="167" t="s">
        <v>296</v>
      </c>
      <c r="K128" s="275">
        <f>SUMIFS($AP$72:$AP$76,$AB$72:$AB$76,"Матове",$AC$72:$AC$76,"Закрита пора",$F$72:$F$76,19,$AD$72:$AD$76,"Ламінат",$AA$72:$AA$76,1)</f>
        <v>0</v>
      </c>
      <c r="L128" s="278"/>
      <c r="M128" s="278">
        <f>Прайс!$M$19</f>
        <v>7744</v>
      </c>
      <c r="N128" s="257">
        <f t="shared" si="4"/>
        <v>0</v>
      </c>
      <c r="O128" s="256">
        <f>SUMIFS($U$46:$U$50,$P$46:$P$50,"Матове",$Q$46:$Q$50,"Закрита пора",$F$46:$F$50,19,$R$46:$R$50,"Нема",$S$46:$S$50,"Ламінат",$O$46:$O$50,1)</f>
        <v>0</v>
      </c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</row>
    <row r="129" spans="1:42" ht="15.75" customHeight="1" x14ac:dyDescent="0.25">
      <c r="B129" s="162" t="s">
        <v>327</v>
      </c>
      <c r="C129" s="167"/>
      <c r="D129" s="167"/>
      <c r="E129" s="167"/>
      <c r="F129" s="167"/>
      <c r="G129" s="167"/>
      <c r="H129" s="167"/>
      <c r="I129" s="167"/>
      <c r="J129" s="167" t="s">
        <v>296</v>
      </c>
      <c r="K129" s="255">
        <f>SUMIFS($AP$72:$AP$76,$AB$72:$AB$76,"Матове",$AC$72:$AC$76,"Закрита пора",$F$72:$F$76,19,$AD$72:$AD$76,"Ламінат",$AA$72:$AA$76,2)</f>
        <v>0</v>
      </c>
      <c r="L129" s="278"/>
      <c r="M129" s="278">
        <f>Прайс!$M$20</f>
        <v>7940</v>
      </c>
      <c r="N129" s="257">
        <f t="shared" si="4"/>
        <v>0</v>
      </c>
      <c r="O129" s="256">
        <f>SUMIFS($U$46:$U$50,$P$46:$P$50,"Матове",$Q$46:$Q$50,"Закрита пора",$F$46:$F$50,19,$R$46:$R$50,"Нема",$S$46:$S$50,"Ламінат",$O$46:$O$50,2)</f>
        <v>0</v>
      </c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</row>
    <row r="130" spans="1:42" ht="15.75" customHeight="1" x14ac:dyDescent="0.25">
      <c r="B130" s="253" t="s">
        <v>328</v>
      </c>
      <c r="C130" s="254"/>
      <c r="D130" s="254"/>
      <c r="E130" s="254"/>
      <c r="F130" s="254"/>
      <c r="G130" s="254"/>
      <c r="H130" s="254"/>
      <c r="I130" s="254"/>
      <c r="J130" s="254" t="s">
        <v>296</v>
      </c>
      <c r="K130" s="275">
        <f>SUMIFS($AP$72:$AP$76,$AB$72:$AB$76,"Глянець",$AC$72:$AC$76,"Закрита пора",$F$72:$F$76,16,$AD$72:$AD$76,"Ламінат",$AA$72:$AA$76,1)</f>
        <v>0</v>
      </c>
      <c r="L130" s="278"/>
      <c r="M130" s="278">
        <f>Прайс!$K$21</f>
        <v>7954</v>
      </c>
      <c r="N130" s="257">
        <f t="shared" si="4"/>
        <v>0</v>
      </c>
      <c r="O130" s="255">
        <f>SUMIFS($T$46:$T$50,$P$46:$P$50,"Глянець",$Q$46:$Q$50,"Закрита пора",$F$46:$F$50,16,$R$46:$R$50,"Нема",$S$46:$S$50,"Ламінат",$O$46:$O$50,1)</f>
        <v>0</v>
      </c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</row>
    <row r="131" spans="1:42" ht="15.75" x14ac:dyDescent="0.25">
      <c r="B131" s="253" t="s">
        <v>329</v>
      </c>
      <c r="C131" s="254"/>
      <c r="D131" s="254"/>
      <c r="E131" s="254"/>
      <c r="F131" s="254"/>
      <c r="G131" s="254"/>
      <c r="H131" s="254"/>
      <c r="I131" s="254"/>
      <c r="J131" s="254" t="s">
        <v>296</v>
      </c>
      <c r="K131" s="255">
        <f>SUMIFS($AP$72:$AP$76,$AB$72:$AB$76,"Глянець",$AC$72:$AC$76,"Закрита пора",$F$72:$F$76,16,$AD$72:$AD$76,"Ламінат",$AA$72:$AA$76,2)</f>
        <v>0</v>
      </c>
      <c r="L131" s="278"/>
      <c r="M131" s="278">
        <f>Прайс!$K$22</f>
        <v>8150</v>
      </c>
      <c r="N131" s="257">
        <f t="shared" si="4"/>
        <v>0</v>
      </c>
      <c r="O131" s="255">
        <f>SUMIFS($T$46:$T$50,$P$46:$P$50,"Глянець",$Q$46:$Q$50,"Закрита пора",$F$46:$F$50,16,$R$46:$R$50,"Нема",$S$46:$S$50,"Ламінат",$O$46:$O$50,2)</f>
        <v>0</v>
      </c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/>
      <c r="AF131" s="162"/>
      <c r="AG131" s="162"/>
      <c r="AH131" s="162"/>
      <c r="AI131" s="162"/>
      <c r="AJ131" s="162"/>
      <c r="AK131" s="162"/>
      <c r="AL131" s="162"/>
      <c r="AM131" s="162"/>
      <c r="AN131" s="162"/>
      <c r="AO131" s="162"/>
      <c r="AP131" s="167"/>
    </row>
    <row r="132" spans="1:42" ht="15.75" x14ac:dyDescent="0.25">
      <c r="B132" s="162" t="s">
        <v>330</v>
      </c>
      <c r="C132" s="167"/>
      <c r="D132" s="167"/>
      <c r="E132" s="167"/>
      <c r="F132" s="167"/>
      <c r="G132" s="167"/>
      <c r="H132" s="167"/>
      <c r="I132" s="167"/>
      <c r="J132" s="167" t="s">
        <v>296</v>
      </c>
      <c r="K132" s="275">
        <f>SUMIFS($AP$72:$AP$76,$AB$72:$AB$76,"Глянець",$AC$72:$AC$76,"Закрита пора",$F$72:$F$76,19,$AD$72:$AD$76,"Ламінат",$AA$72:$AA$76,1)</f>
        <v>0</v>
      </c>
      <c r="L132" s="278"/>
      <c r="M132" s="278">
        <f>Прайс!$M$21</f>
        <v>8024</v>
      </c>
      <c r="N132" s="257">
        <f t="shared" si="4"/>
        <v>0</v>
      </c>
      <c r="O132" s="256">
        <f>SUMIFS($U$46:$U$50,$P$46:$P$50,"Глянець",$Q$46:$Q$50,"Закрита пора",$F$46:$F$50,19,$R$46:$R$50,"Нема",$S$46:$S$50,"Ламінат",$O$46:$O$50,1)</f>
        <v>0</v>
      </c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7"/>
    </row>
    <row r="133" spans="1:42" ht="15.75" customHeight="1" thickBot="1" x14ac:dyDescent="0.3">
      <c r="B133" s="162" t="s">
        <v>331</v>
      </c>
      <c r="C133" s="167"/>
      <c r="D133" s="167"/>
      <c r="E133" s="167"/>
      <c r="F133" s="167"/>
      <c r="G133" s="167"/>
      <c r="H133" s="167"/>
      <c r="I133" s="167"/>
      <c r="J133" s="167" t="s">
        <v>296</v>
      </c>
      <c r="K133" s="255">
        <f>SUMIFS($AP$72:$AP$76,$AB$72:$AB$76,"Глянець",$AC$72:$AC$76,"Закрита пора",$F$72:$F$76,19,$AD$72:$AD$76,"Ламінат",$AA$72:$AA$76,2)</f>
        <v>0</v>
      </c>
      <c r="L133" s="279"/>
      <c r="M133" s="279">
        <f>Прайс!$M$22</f>
        <v>8220</v>
      </c>
      <c r="N133" s="261">
        <f t="shared" si="4"/>
        <v>0</v>
      </c>
      <c r="O133" s="260">
        <f>SUMIFS($U$46:$U$50,$P$46:$P$50,"Глянець",$Q$46:$Q$50,"Закрита пора",$F$46:$F$50,19,$R$46:$R$50,"Нема",$S$46:$S$50,"Ламінат",$O$46:$O$50,2)</f>
        <v>0</v>
      </c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280"/>
    </row>
    <row r="134" spans="1:42" ht="16.5" thickBot="1" x14ac:dyDescent="0.3">
      <c r="A134" s="262"/>
      <c r="B134" s="263" t="s">
        <v>332</v>
      </c>
      <c r="C134" s="264"/>
      <c r="D134" s="264"/>
      <c r="E134" s="264"/>
      <c r="F134" s="264"/>
      <c r="G134" s="264"/>
      <c r="H134" s="264"/>
      <c r="I134" s="264"/>
      <c r="J134" s="264" t="s">
        <v>296</v>
      </c>
      <c r="K134" s="281">
        <f>SUMIFS($AP$72:$AP$76,$AB$72:$AB$76,"Матове",$AC$72:$AC$76,"Відкрита пора",$F$72:$F$76,16,$AD$72:$AD$76,"Матове",$AE$72:$AE$76,"Відкрита пора",$AA$72:$AA$76,1)</f>
        <v>0</v>
      </c>
      <c r="L134" s="282"/>
      <c r="M134" s="282">
        <f>Прайс!$K$23</f>
        <v>10614</v>
      </c>
      <c r="N134" s="283">
        <f t="shared" si="4"/>
        <v>0</v>
      </c>
      <c r="O134" s="284">
        <f>SUMIFS($T$46:$T$50,$P$46:$P$50,"Матове",$Q$46:$Q$50,"Відкрита пора",$F$46:$F$50,16,$R$46:$R$50,"Матове",$S$46:$S$50,"Відкрита пора",$O$46:$O$50,1)</f>
        <v>0</v>
      </c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280"/>
    </row>
    <row r="135" spans="1:42" ht="16.5" thickBot="1" x14ac:dyDescent="0.3">
      <c r="A135" s="269"/>
      <c r="B135" s="253" t="s">
        <v>333</v>
      </c>
      <c r="C135" s="254"/>
      <c r="D135" s="254"/>
      <c r="E135" s="254"/>
      <c r="F135" s="254"/>
      <c r="G135" s="254"/>
      <c r="H135" s="254"/>
      <c r="I135" s="254"/>
      <c r="J135" s="254" t="s">
        <v>296</v>
      </c>
      <c r="K135" s="281">
        <f>SUMIFS($AP$72:$AP$76,$AB$72:$AB$76,"Матове",$AC$72:$AC$76,"Відкрита пора",$F$72:$F$76,16,$AD$72:$AD$76,"Матове",$AE$72:$AE$76,"Відкрита пора",$AA$72:$AA$76,2)</f>
        <v>0</v>
      </c>
      <c r="L135" s="278"/>
      <c r="M135" s="278">
        <f>Прайс!$K$24</f>
        <v>10810</v>
      </c>
      <c r="N135" s="257">
        <f t="shared" si="4"/>
        <v>0</v>
      </c>
      <c r="O135" s="285">
        <f>SUMIFS($T$46:$T$50,$P$46:$P$50,"Матове",$Q$46:$Q$50,"Відкрита пора",$F$46:$F$50,16,$R$46:$R$50,"Матове",$S$46:$S$50,"Відкрита пора",$O$46:$O$50,2)</f>
        <v>0</v>
      </c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227"/>
    </row>
    <row r="136" spans="1:42" ht="16.5" thickBot="1" x14ac:dyDescent="0.3">
      <c r="A136" s="269"/>
      <c r="B136" s="162" t="s">
        <v>334</v>
      </c>
      <c r="C136" s="167"/>
      <c r="D136" s="167"/>
      <c r="E136" s="167"/>
      <c r="F136" s="167"/>
      <c r="G136" s="167"/>
      <c r="H136" s="167"/>
      <c r="I136" s="167"/>
      <c r="J136" s="167" t="s">
        <v>296</v>
      </c>
      <c r="K136" s="281">
        <f>SUMIFS($AP$72:$AP$76,$AB$72:$AB$76,"Матове",$AC$72:$AC$76,"Відкрита пора",$F$72:$F$76,19,$AD$72:$AD$76,"Матове",$AE$72:$AE$76,"Відкрита пора",$AA$72:$AA$76,1)</f>
        <v>0</v>
      </c>
      <c r="L136" s="278"/>
      <c r="M136" s="278">
        <f>Прайс!$M$23</f>
        <v>10684</v>
      </c>
      <c r="N136" s="257">
        <f t="shared" si="4"/>
        <v>0</v>
      </c>
      <c r="O136" s="286">
        <f>SUMIFS($U$46:$U$50,$P$46:$P$50,"Матове",$Q$46:$Q$50,"Відкрита пора",$F$46:$F$50,19,$R$46:$R$50,"Матове",$S$46:$S$50,"Відкрита пора",$O$46:$O$50,1)</f>
        <v>0</v>
      </c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227"/>
    </row>
    <row r="137" spans="1:42" ht="16.5" thickBot="1" x14ac:dyDescent="0.3">
      <c r="A137" s="269"/>
      <c r="B137" s="162" t="s">
        <v>335</v>
      </c>
      <c r="C137" s="167"/>
      <c r="D137" s="167"/>
      <c r="E137" s="167"/>
      <c r="F137" s="167"/>
      <c r="G137" s="167"/>
      <c r="H137" s="167"/>
      <c r="I137" s="167"/>
      <c r="J137" s="167" t="s">
        <v>296</v>
      </c>
      <c r="K137" s="281">
        <f>SUMIFS($AP$72:$AP$76,$AB$72:$AB$76,"Матове",$AC$72:$AC$76,"Відкрита пора",$F$72:$F$76,19,$AD$72:$AD$76,"Матове",$AE$72:$AE$76,"Відкрита пора",$AA$72:$AA$76,2)</f>
        <v>0</v>
      </c>
      <c r="L137" s="278"/>
      <c r="M137" s="278">
        <f>Прайс!$M$24</f>
        <v>10880</v>
      </c>
      <c r="N137" s="257">
        <f t="shared" si="4"/>
        <v>0</v>
      </c>
      <c r="O137" s="286">
        <f>SUMIFS($U$46:$U$50,$P$46:$P$50,"Матове",$Q$46:$Q$50,"Відкрита пора",$F$46:$F$50,19,$R$46:$R$50,"Матове",$S$46:$S$50,"Відкрита пора",$O$46:$O$50,2)</f>
        <v>0</v>
      </c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</row>
    <row r="138" spans="1:42" ht="16.5" thickBot="1" x14ac:dyDescent="0.3">
      <c r="A138" s="269"/>
      <c r="B138" s="253" t="s">
        <v>336</v>
      </c>
      <c r="C138" s="254"/>
      <c r="D138" s="254"/>
      <c r="E138" s="254"/>
      <c r="F138" s="254"/>
      <c r="G138" s="254"/>
      <c r="H138" s="254"/>
      <c r="I138" s="254"/>
      <c r="J138" s="254" t="s">
        <v>296</v>
      </c>
      <c r="K138" s="281">
        <f>SUMIFS($AP$72:$AP$76,$AB$72:$AB$76,"Матове",$AC$72:$AC$76,"Закрита пора",$F$72:$F$76,16,$AD$72:$AD$76,"Матове",$AE$72:$AE$76,"Відкрита пора",$AA$72:$AA$76,1)</f>
        <v>0</v>
      </c>
      <c r="L138" s="278"/>
      <c r="M138" s="278">
        <f>Прайс!$K$25</f>
        <v>11314</v>
      </c>
      <c r="N138" s="257">
        <f t="shared" si="4"/>
        <v>0</v>
      </c>
      <c r="O138" s="285">
        <f>SUMIFS($T$46:$T$50,$P$46:$P$50,"Матове",$Q$46:$Q$50,"Закрита пора",$F$46:$F$50,16,$R$46:$R$50,"Матове",$S$46:$S$50,"Відкрита пора",$O$46:$O$50,1)</f>
        <v>0</v>
      </c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</row>
    <row r="139" spans="1:42" ht="16.5" thickBot="1" x14ac:dyDescent="0.3">
      <c r="A139" s="269"/>
      <c r="B139" s="253" t="s">
        <v>337</v>
      </c>
      <c r="C139" s="254"/>
      <c r="D139" s="254"/>
      <c r="E139" s="254"/>
      <c r="F139" s="254"/>
      <c r="G139" s="254"/>
      <c r="H139" s="254"/>
      <c r="I139" s="254"/>
      <c r="J139" s="254" t="s">
        <v>296</v>
      </c>
      <c r="K139" s="281">
        <f>SUMIFS($AP$72:$AP$76,$AB$72:$AB$76,"Матове",$AC$72:$AC$76,"Закрита пора",$F$72:$F$76,16,$AD$72:$AD$76,"Матове",$AE$72:$AE$76,"Відкрита пора",$AA$72:$AA$76,2)</f>
        <v>0</v>
      </c>
      <c r="L139" s="278"/>
      <c r="M139" s="278">
        <f>Прайс!$K$26</f>
        <v>11510</v>
      </c>
      <c r="N139" s="257">
        <f t="shared" si="4"/>
        <v>0</v>
      </c>
      <c r="O139" s="285">
        <f>SUMIFS($T$46:$T$50,$P$46:$P$50,"Матове",$Q$46:$Q$50,"Закрита пора",$F$46:$F$50,16,$R$46:$R$50,"Матове",$S$46:$S$50,"Відкрита пора",$O$46:$O$50,2)</f>
        <v>0</v>
      </c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</row>
    <row r="140" spans="1:42" ht="16.5" thickBot="1" x14ac:dyDescent="0.3">
      <c r="A140" s="269"/>
      <c r="B140" s="162" t="s">
        <v>338</v>
      </c>
      <c r="C140" s="167"/>
      <c r="D140" s="167"/>
      <c r="E140" s="167"/>
      <c r="F140" s="167"/>
      <c r="G140" s="167"/>
      <c r="H140" s="167"/>
      <c r="I140" s="167"/>
      <c r="J140" s="167" t="s">
        <v>296</v>
      </c>
      <c r="K140" s="281">
        <f>SUMIFS($AP$72:$AP$76,$AB$72:$AB$76,"Матове",$AC$72:$AC$76,"Закрита пора",$F$72:$F$76,19,$AD$72:$AD$76,"Матове",$AE$72:$AE$76,"Відкрита пора",$AA$72:$AA$76,1)</f>
        <v>0</v>
      </c>
      <c r="L140" s="278"/>
      <c r="M140" s="278">
        <f>Прайс!$M$25</f>
        <v>11384</v>
      </c>
      <c r="N140" s="257">
        <f t="shared" si="4"/>
        <v>0</v>
      </c>
      <c r="O140" s="286">
        <f>SUMIFS($U$46:$U$50,$P$46:$P$50,"Матове",$Q$46:$Q$50,"Закрита пора",$F$46:$F$50,19,$R$46:$R$50,"Матове",$S$46:$S$50,"Відкрита пора",$O$46:$O$50,1)</f>
        <v>0</v>
      </c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</row>
    <row r="141" spans="1:42" ht="16.5" thickBot="1" x14ac:dyDescent="0.3">
      <c r="A141" s="269"/>
      <c r="B141" s="162" t="s">
        <v>339</v>
      </c>
      <c r="C141" s="167"/>
      <c r="D141" s="167"/>
      <c r="E141" s="167"/>
      <c r="F141" s="167"/>
      <c r="G141" s="167"/>
      <c r="H141" s="167"/>
      <c r="I141" s="167"/>
      <c r="J141" s="167" t="s">
        <v>296</v>
      </c>
      <c r="K141" s="281">
        <f>SUMIFS($AP$72:$AP$76,$AB$72:$AB$76,"Матове",$AC$72:$AC$76,"Закрита пора",$F$72:$F$76,19,$AD$72:$AD$76,"Матове",$AE$72:$AE$76,"Відкрита пора",$AA$72:$AA$76,2)</f>
        <v>0</v>
      </c>
      <c r="L141" s="278"/>
      <c r="M141" s="278">
        <f>Прайс!$M$26</f>
        <v>11580</v>
      </c>
      <c r="N141" s="257">
        <f t="shared" si="4"/>
        <v>0</v>
      </c>
      <c r="O141" s="286">
        <f>SUMIFS($U$46:$U$50,$P$46:$P$50,"Матове",$Q$46:$Q$50,"Закрита пора",$F$46:$F$50,19,$R$46:$R$50,"Матове",$S$46:$S$50,"Відкрита пора",$O$46:$O$50,2)</f>
        <v>0</v>
      </c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</row>
    <row r="142" spans="1:42" ht="16.5" thickBot="1" x14ac:dyDescent="0.3">
      <c r="A142" s="269"/>
      <c r="B142" s="253" t="s">
        <v>340</v>
      </c>
      <c r="C142" s="254"/>
      <c r="D142" s="254"/>
      <c r="E142" s="254"/>
      <c r="F142" s="254"/>
      <c r="G142" s="254"/>
      <c r="H142" s="254"/>
      <c r="I142" s="254"/>
      <c r="J142" s="254" t="s">
        <v>296</v>
      </c>
      <c r="K142" s="281">
        <f>SUMIFS($AP$72:$AP$76,$AB$72:$AB$76,"Глянець",$AC$72:$AC$76,"Закрита пора",$F$72:$F$76,16,$AD$72:$AD$76,"Матове",$AE$72:$AE$76,"Відкрита пора",$AA$72:$AA$76,1)</f>
        <v>0</v>
      </c>
      <c r="L142" s="278"/>
      <c r="M142" s="278">
        <f>Прайс!$K$27</f>
        <v>11594</v>
      </c>
      <c r="N142" s="257">
        <f t="shared" si="4"/>
        <v>0</v>
      </c>
      <c r="O142" s="285">
        <f>SUMIFS($T$46:$T$50,$P$46:$P$50,"Глянець",$Q$46:$Q$50,"Закрита пора",$F$46:$F$50,16,$R$46:$R$50,"Матове",$S$46:$S$50,"Відкрита пора",$O$46:$O$50,1)</f>
        <v>0</v>
      </c>
    </row>
    <row r="143" spans="1:42" ht="16.5" thickBot="1" x14ac:dyDescent="0.3">
      <c r="A143" s="269"/>
      <c r="B143" s="253" t="s">
        <v>341</v>
      </c>
      <c r="C143" s="254"/>
      <c r="D143" s="254"/>
      <c r="E143" s="254"/>
      <c r="F143" s="254"/>
      <c r="G143" s="254"/>
      <c r="H143" s="254"/>
      <c r="I143" s="254"/>
      <c r="J143" s="254" t="s">
        <v>296</v>
      </c>
      <c r="K143" s="281">
        <f>SUMIFS($AP$72:$AP$76,$AB$72:$AB$76,"Глянець",$AC$72:$AC$76,"Закрита пора",$F$72:$F$76,16,$AD$72:$AD$76,"Матове",$AE$72:$AE$76,"Відкрита пора",$AA$72:$AA$76,2)</f>
        <v>0</v>
      </c>
      <c r="L143" s="278"/>
      <c r="M143" s="278">
        <f>Прайс!$K$28</f>
        <v>11790</v>
      </c>
      <c r="N143" s="257">
        <f t="shared" si="4"/>
        <v>0</v>
      </c>
      <c r="O143" s="285">
        <f>SUMIFS($T$46:$T$50,$P$46:$P$50,"Глянець",$Q$46:$Q$50,"Закрита пора",$F$46:$F$50,16,$R$46:$R$50,"Матове",$S$46:$S$50,"Відкрита пора",$O$46:$O$50,2)</f>
        <v>0</v>
      </c>
    </row>
    <row r="144" spans="1:42" ht="16.5" thickBot="1" x14ac:dyDescent="0.3">
      <c r="A144" s="269"/>
      <c r="B144" s="162" t="s">
        <v>342</v>
      </c>
      <c r="C144" s="167"/>
      <c r="D144" s="167"/>
      <c r="E144" s="167"/>
      <c r="F144" s="167"/>
      <c r="G144" s="167"/>
      <c r="H144" s="167"/>
      <c r="I144" s="167"/>
      <c r="J144" s="167" t="s">
        <v>296</v>
      </c>
      <c r="K144" s="281">
        <f>SUMIFS($AP$72:$AP$76,$AB$72:$AB$76,"Глянець",$AC$72:$AC$76,"Закрита пора",$F$72:$F$76,19,$AD$72:$AD$76,"Матове",$AE$72:$AE$76,"Відкрита пора",$AA$72:$AA$76,1)</f>
        <v>0</v>
      </c>
      <c r="L144" s="278"/>
      <c r="M144" s="278">
        <f>Прайс!$M$27</f>
        <v>11664</v>
      </c>
      <c r="N144" s="257">
        <f t="shared" si="4"/>
        <v>0</v>
      </c>
      <c r="O144" s="286">
        <f>SUMIFS($U$46:$U$50,$P$46:$P$50,"Глянець",$Q$46:$Q$50,"Закрита пора",$F$46:$F$50,19,$R$46:$R$50,"Матове",$S$46:$S$50,"Відкрита пора",$O$46:$O$50,1)</f>
        <v>0</v>
      </c>
    </row>
    <row r="145" spans="1:15" ht="16.5" thickBot="1" x14ac:dyDescent="0.3">
      <c r="A145" s="272"/>
      <c r="B145" s="273" t="s">
        <v>343</v>
      </c>
      <c r="C145" s="274"/>
      <c r="D145" s="274"/>
      <c r="E145" s="274"/>
      <c r="F145" s="274"/>
      <c r="G145" s="274"/>
      <c r="H145" s="274"/>
      <c r="I145" s="274"/>
      <c r="J145" s="274" t="s">
        <v>296</v>
      </c>
      <c r="K145" s="281">
        <f>SUMIFS($AP$72:$AP$76,$AB$72:$AB$76,"Глянець",$AC$72:$AC$76,"Закрита пора",$F$72:$F$76,19,$AD$72:$AD$76,"Матове",$AE$72:$AE$76,"Відкрита пора",$AA$72:$AA$76,2)</f>
        <v>0</v>
      </c>
      <c r="L145" s="287"/>
      <c r="M145" s="287">
        <f>Прайс!$M$28</f>
        <v>11860</v>
      </c>
      <c r="N145" s="288">
        <f t="shared" si="4"/>
        <v>0</v>
      </c>
      <c r="O145" s="289">
        <f>SUMIFS($U$46:$U$50,$P$46:$P$50,"Глянець",$Q$46:$Q$50,"Закрита пора",$F$46:$F$50,19,$R$46:$R$50,"Матове",$S$46:$S$50,"Відкрита пора",$O$46:$O$50,2)</f>
        <v>0</v>
      </c>
    </row>
    <row r="146" spans="1:15" ht="15.75" x14ac:dyDescent="0.25">
      <c r="B146" s="162" t="s">
        <v>344</v>
      </c>
      <c r="C146" s="167"/>
      <c r="D146" s="167"/>
      <c r="E146" s="167"/>
      <c r="F146" s="167"/>
      <c r="G146" s="167"/>
      <c r="H146" s="167"/>
      <c r="I146" s="167"/>
      <c r="J146" s="167" t="s">
        <v>79</v>
      </c>
      <c r="K146" s="290">
        <f>SUMIF($I$21:$I$65,"Пряма без чверті",$E$21:$E$65)</f>
        <v>0</v>
      </c>
      <c r="L146" s="290"/>
      <c r="M146" s="290">
        <f>Прайс!$J$42</f>
        <v>300</v>
      </c>
      <c r="N146" s="277">
        <f t="shared" si="4"/>
        <v>0</v>
      </c>
      <c r="O146" s="290">
        <f>SUMIF($G$14:$G$38,"Пряма без чверті",$H$14:$H$38)</f>
        <v>0</v>
      </c>
    </row>
    <row r="147" spans="1:15" ht="15.75" x14ac:dyDescent="0.25">
      <c r="B147" s="162" t="s">
        <v>345</v>
      </c>
      <c r="C147" s="167"/>
      <c r="D147" s="167"/>
      <c r="E147" s="167"/>
      <c r="F147" s="167"/>
      <c r="G147" s="167"/>
      <c r="H147" s="167"/>
      <c r="I147" s="167"/>
      <c r="J147" s="167" t="s">
        <v>79</v>
      </c>
      <c r="K147" s="256">
        <f>SUMIF($I$21:$I$65,"Пряма з чвертю",$E$21:$E$65)</f>
        <v>0</v>
      </c>
      <c r="L147" s="256"/>
      <c r="M147" s="256">
        <f>Прайс!$J$42+Прайс!$J$44</f>
        <v>345</v>
      </c>
      <c r="N147" s="257">
        <f t="shared" si="4"/>
        <v>0</v>
      </c>
      <c r="O147" s="256">
        <f>SUMIF($G$14:$G$38,"Пряма з чвертю",$H$14:$H$38)</f>
        <v>0</v>
      </c>
    </row>
    <row r="148" spans="1:15" ht="15.75" x14ac:dyDescent="0.25">
      <c r="B148" s="162" t="s">
        <v>346</v>
      </c>
      <c r="C148" s="167"/>
      <c r="D148" s="167"/>
      <c r="E148" s="167"/>
      <c r="F148" s="167"/>
      <c r="G148" s="167"/>
      <c r="H148" s="167"/>
      <c r="I148" s="167"/>
      <c r="J148" s="291" t="s">
        <v>79</v>
      </c>
      <c r="K148" s="256">
        <f>SUMIF($I$72:$I$76,"Без чверті",E72:E76)</f>
        <v>0</v>
      </c>
      <c r="L148" s="256"/>
      <c r="M148" s="256">
        <f>Прайс!$J$43</f>
        <v>550</v>
      </c>
      <c r="N148" s="257">
        <f t="shared" si="4"/>
        <v>0</v>
      </c>
      <c r="O148" s="256">
        <f>SUMIF($G$46:$G$50,"Без чверті",$H$46:$H$50)</f>
        <v>0</v>
      </c>
    </row>
    <row r="149" spans="1:15" ht="15.75" x14ac:dyDescent="0.25">
      <c r="B149" s="162" t="s">
        <v>347</v>
      </c>
      <c r="C149" s="167"/>
      <c r="D149" s="167"/>
      <c r="E149" s="167"/>
      <c r="F149" s="167"/>
      <c r="G149" s="167"/>
      <c r="H149" s="167"/>
      <c r="I149" s="167"/>
      <c r="J149" s="291" t="s">
        <v>79</v>
      </c>
      <c r="K149" s="256">
        <f>SUMIF($I$72:$I$76,"З чвертю",$E$72:$E$76)</f>
        <v>0</v>
      </c>
      <c r="L149" s="256"/>
      <c r="M149" s="256">
        <f>Прайс!$J$43+Прайс!$J$44</f>
        <v>595</v>
      </c>
      <c r="N149" s="257">
        <f t="shared" si="4"/>
        <v>0</v>
      </c>
      <c r="O149" s="256">
        <f>SUMIF($G$46:$G$50,"З чвертю",$H$46:$H$50)</f>
        <v>0</v>
      </c>
    </row>
    <row r="150" spans="1:15" ht="15.75" x14ac:dyDescent="0.25">
      <c r="B150" s="162" t="s">
        <v>141</v>
      </c>
      <c r="C150" s="167"/>
      <c r="D150" s="167"/>
      <c r="E150" s="167"/>
      <c r="F150" s="167"/>
      <c r="G150" s="167"/>
      <c r="H150" s="167"/>
      <c r="I150" s="167"/>
      <c r="J150" s="291" t="s">
        <v>78</v>
      </c>
      <c r="K150" s="256">
        <f>SUMIF($K$21:$K$65,"J № 1",$M$21:$M$65)+SUMIF($K$21:$K$65,"J № 2",$M$21:$M$65)+SUMIF($K$21:$K$65,"J № 2L",$M$21:$M$65)+SUMIF($K$21:$K$65,"J № 2R",$M$21:$M$65)+SUMIF($K$21:$K$65,"AJ № 2",$M$21:$M$65)+SUMIF($K$21:$K$65,"AJ № 2L",$M$21:$M$65)+SUMIF($K$21:$K$65,"AJ № 2R",$M$21:$M$65)+SUMIF($K$21:$K$65,"U",$M$21:$M$65)+SUMIF($K$21:$K$65,"V",$M$21:$M$65)</f>
        <v>0</v>
      </c>
      <c r="L150" s="256"/>
      <c r="M150" s="256">
        <f>Прайс!J45</f>
        <v>315</v>
      </c>
      <c r="N150" s="257">
        <f t="shared" si="4"/>
        <v>0</v>
      </c>
      <c r="O150" s="256">
        <f>SUMIF($I$14:$I$38,"J № 1",$L$14:$L$38)+SUMIF($I$14:$I$38,"J № 2",$L$14:$L$38)+SUMIF($I$14:$I$38,"J № 2L",$L$14:$L$38)+SUMIF($I$14:$I$38,"J № 2R",$L$14:$L$38)+SUMIF($I$14:$I$38,"J № 3L",$L$14:$L$38)+SUMIF($I$14:$I$38,"J № 3R",$L$14:$L$38)+SUMIF($I$14:$I$38,"J № 3L",$L$14:$L$38)+SUMIF($I$14:$I$38,"J № 3R",$L$14:$L$38)+SUMIF($I$14:$I$38,"J № 4L",$L$14:$L$38)+SUMIF($I$14:$I$38,"J № 4R",$L$14:$L$38)+SUMIF($I$14:$I$38,"J № 5L",$L$14:$L$38)+SUMIF($I$14:$I$38,"J № 5R",$L$14:$L$38)</f>
        <v>0</v>
      </c>
    </row>
    <row r="151" spans="1:15" ht="15.75" x14ac:dyDescent="0.25">
      <c r="B151" s="162" t="s">
        <v>142</v>
      </c>
      <c r="C151" s="167"/>
      <c r="D151" s="167"/>
      <c r="E151" s="167"/>
      <c r="F151" s="167"/>
      <c r="G151" s="167"/>
      <c r="H151" s="167"/>
      <c r="I151" s="167"/>
      <c r="J151" s="291" t="s">
        <v>79</v>
      </c>
      <c r="K151" s="256">
        <f>SUMIF($K$21:$K$65,"J № 3",$E$21:$E$65)+SUMIF($K$21:$K$65,"J № 4",$E$21:$E$65)+SUMIF($K$21:$K$65,"J № 5",$E$21:$E$65)+SUMIF($K$21:$K$65,"J № 6",$E$21:$E$65)+SUMIF($K$21:$K$65,"J № 7",$E$21:$E$65)+SUMIF($K$21:$K$65,"AJ № 3L",$E$21:$E$65)+SUMIF($K$21:$K$65,"AJ № 3R",$E$21:$E$65)+SUMIF($K$21:$K$65,"AJ № 4L",$E$21:$E$65)+SUMIF($K$21:$K$65,"AJ № 4R",$E$21:$E$65)+SUMIF($K$21:$K$65,"AJ № 5L",$E$21:$E$65)+SUMIF($K$21:$K$65,"AJ № 5R",$E$21:$E$65)+SUMIF($K$21:$K$65,"AJ № 3",$E$21:$E$65)+SUMIF($K$21:$K$65,"AJ № 4",$E$21:$E$65)+SUMIF($K$21:$K$65,"AJ № 5",$E$21:$E$65)+SUMIF($K$21:$K$65,"L",$E$21:$E$65)+SUMIF($K$21:$K$65,"AL",$E$21:$E$65)+SUMIF($K$21:$K$65,"J № 3L",$E$21:$E$65)+SUMIF($K$21:$K$65,"J № 3R",$E$21:$E$65)+SUMIF($K$21:$K$65,"J № 4L",$E$21:$E$65)+SUMIF($K$21:$K$65,"J № 4R",$E$21:$E$65)+SUMIF($K$21:$K$65,"J № 5L",$E$21:$E$65)+SUMIF($K$21:$K$65,"J № 5R",$E$21:$E$65)</f>
        <v>0</v>
      </c>
      <c r="L151" s="256"/>
      <c r="M151" s="256">
        <f>Прайс!$J$45</f>
        <v>315</v>
      </c>
      <c r="N151" s="257">
        <f t="shared" si="4"/>
        <v>0</v>
      </c>
      <c r="O151" s="256">
        <f>SUMIF($I$14:$I$38,"J № 3",$L$14:$L$38)+SUMIF($I$14:$I$38,"J № 4",$L$14:$L$38)+SUMIF($I$14:$I$38,"J № 5",$L$14:$L$38)+SUMIF($I$14:$I$38,"J № 6",$L$14:$L$38)+SUMIF($I$14:$I$38,"J № 7",$L$14:$L$38)</f>
        <v>0</v>
      </c>
    </row>
    <row r="152" spans="1:15" ht="15.75" x14ac:dyDescent="0.25">
      <c r="B152" s="162" t="s">
        <v>143</v>
      </c>
      <c r="C152" s="167"/>
      <c r="D152" s="167"/>
      <c r="E152" s="167"/>
      <c r="F152" s="167"/>
      <c r="G152" s="167"/>
      <c r="H152" s="167"/>
      <c r="I152" s="167"/>
      <c r="J152" s="291" t="s">
        <v>78</v>
      </c>
      <c r="K152" s="256">
        <f>SUMIF($K$21:$K$65,"45 град.",$M$21:$M$65)</f>
        <v>0</v>
      </c>
      <c r="L152" s="256"/>
      <c r="M152" s="256">
        <f>Прайс!$J$50</f>
        <v>315</v>
      </c>
      <c r="N152" s="257">
        <f t="shared" si="4"/>
        <v>0</v>
      </c>
      <c r="O152" s="256">
        <f>SUMIF($I$14:$I$38,"45 град.",$L$14:$L$38)</f>
        <v>0</v>
      </c>
    </row>
    <row r="153" spans="1:15" ht="15.75" x14ac:dyDescent="0.25">
      <c r="B153" s="162" t="s">
        <v>348</v>
      </c>
      <c r="C153" s="167"/>
      <c r="D153" s="167"/>
      <c r="E153" s="167"/>
      <c r="F153" s="167"/>
      <c r="G153" s="167"/>
      <c r="H153" s="167"/>
      <c r="I153" s="167"/>
      <c r="J153" s="291" t="s">
        <v>79</v>
      </c>
      <c r="K153" s="256">
        <f>SUMIF($K$72:$K$76,"J № 1",$M$72:$M$76)+SUMIF($K$72:$K$76,"J № 2",$M$72:$M$76)+SUMIF($K$72:$K$76,"J № 2L",$M$72:$M$76)+SUMIF($K$72:$K$76,"J № 2R",$M$72:$M$76)+SUMIF($K$72:$K$76,"J № 3L",$M$72:$M$76)+SUMIF($K$72:$K$76,"J № 3R",$M$72:$M$76)+SUMIF($K$72:$K$76,"J № 3L",$M$72:$M$76)+SUMIF($K$72:$K$76,"J № 3R",$M$72:$M$76)+SUMIF($K$72:$K$76,"J № 4L",$M$72:$M$76)+SUMIF($K$72:$K$76,"J № 4R",$M$72:$M$76)+SUMIF($K$72:$K$76,"J № 5L",$M$72:$M$76)+SUMIF($K$72:$K$76,"J № 5R",$M$72:$M$76)+SUMIF($K$72:$K$76,"J № 3",$M$72:$M$76)+SUMIF($K$72:$K$76,"J № 4",$M$72:$M$76)+SUMIF($K$72:$K$76,"J № 5",$M$72:$M$76)+SUMIF($K$72:$K$76,"J № 6",$M$72:$M$76)+SUMIF($K$72:$K$76,"J № 7",$M$72:$M$76)</f>
        <v>0</v>
      </c>
      <c r="L153" s="256"/>
      <c r="M153" s="256">
        <f>Прайс!$J$46</f>
        <v>500</v>
      </c>
      <c r="N153" s="257">
        <f t="shared" si="4"/>
        <v>0</v>
      </c>
      <c r="O153" s="256">
        <f>SUMIF($I$46:$I$50,"J № 1",$L$46:$L$50)+SUMIF($I$46:$I$50,"J № 2",$L$46:$L$50)+SUMIF($I$46:$I$50,"J № 2L",$L$46:$L$50)+SUMIF($I$46:$I$50,"J № 2R",$L$46:$L$50)+SUMIF($I$46:$I$50,"J № 3L",$L$46:$L$50)+SUMIF($I$46:$I$50,"J № 3R",$L$46:$L$50)+SUMIF($I$46:$I$50,"J № 3L",$L$46:$L$50)+SUMIF($I$46:$I$50,"J № 3R",$L$46:$L$50)+SUMIF($I$46:$I$50,"J № 4L",$L$46:$L$50)+SUMIF($I$46:$I$50,"J № 4R",$L$46:$L$50)+SUMIF($I$46:$I$50,"J № 5L",$L$46:$L$50)+SUMIF($I$46:$I$50,"J № 5R",$L$46:$L$50)+SUMIF($I$46:$I$50,"J № 3",$L$46:$L$50)+SUMIF($I$46:$I$50,"J № 4",$L$46:$L$50)+SUMIF($I$46:$I$50,"J № 5",$L$46:$L$50)+SUMIF($I$46:$I$50,"J № 6",$L$46:$L$50)+SUMIF($I$46:$I$50,"J № 7",$L$46:$L$50)</f>
        <v>0</v>
      </c>
    </row>
    <row r="154" spans="1:15" ht="15.75" x14ac:dyDescent="0.25">
      <c r="B154" s="167" t="s">
        <v>114</v>
      </c>
      <c r="C154" s="167"/>
      <c r="D154" s="167"/>
      <c r="E154" s="167"/>
      <c r="F154" s="167"/>
      <c r="G154" s="167"/>
      <c r="H154" s="167"/>
      <c r="I154" s="167"/>
      <c r="J154" s="291" t="s">
        <v>79</v>
      </c>
      <c r="K154" s="256">
        <f>AJ77+AJ66</f>
        <v>0</v>
      </c>
      <c r="L154" s="256"/>
      <c r="M154" s="256">
        <f>Прайс!$J$47</f>
        <v>25</v>
      </c>
      <c r="N154" s="257">
        <f t="shared" si="4"/>
        <v>0</v>
      </c>
      <c r="O154" s="256">
        <f>SUM(W38:W62)+SUM(W70:W74)</f>
        <v>0</v>
      </c>
    </row>
    <row r="155" spans="1:15" ht="15.75" x14ac:dyDescent="0.25">
      <c r="B155" s="167" t="s">
        <v>349</v>
      </c>
      <c r="C155" s="167"/>
      <c r="D155" s="167"/>
      <c r="E155" s="167"/>
      <c r="F155" s="167"/>
      <c r="G155" s="167"/>
      <c r="H155" s="167"/>
      <c r="I155" s="167"/>
      <c r="J155" s="243" t="s">
        <v>79</v>
      </c>
      <c r="K155" s="256"/>
      <c r="L155" s="256"/>
      <c r="M155" s="256"/>
      <c r="N155" s="256"/>
      <c r="O155" s="256"/>
    </row>
    <row r="156" spans="1:15" ht="15.75" x14ac:dyDescent="0.25">
      <c r="B156" s="167" t="s">
        <v>350</v>
      </c>
      <c r="C156" s="167"/>
      <c r="D156" s="167"/>
      <c r="E156" s="167"/>
      <c r="F156" s="167"/>
      <c r="G156" s="167"/>
      <c r="H156" s="167"/>
      <c r="I156" s="167"/>
      <c r="J156" s="167" t="s">
        <v>296</v>
      </c>
      <c r="K156" s="256"/>
      <c r="L156" s="256"/>
      <c r="M156" s="256"/>
      <c r="N156" s="256"/>
      <c r="O156" s="256"/>
    </row>
    <row r="157" spans="1:15" ht="15.75" x14ac:dyDescent="0.25">
      <c r="B157" s="162" t="s">
        <v>351</v>
      </c>
      <c r="C157" s="162"/>
      <c r="D157" s="225"/>
      <c r="E157" s="225"/>
      <c r="F157" s="243"/>
      <c r="G157" s="243"/>
      <c r="H157" s="243"/>
      <c r="I157" s="243"/>
      <c r="J157" s="243" t="s">
        <v>79</v>
      </c>
      <c r="K157" s="256"/>
      <c r="L157" s="256"/>
      <c r="M157" s="256"/>
      <c r="N157" s="256"/>
      <c r="O157" s="256"/>
    </row>
    <row r="158" spans="1:15" ht="15.75" x14ac:dyDescent="0.25">
      <c r="B158" s="162" t="s">
        <v>352</v>
      </c>
      <c r="C158" s="162"/>
      <c r="D158" s="225"/>
      <c r="E158" s="225"/>
      <c r="F158" s="225"/>
      <c r="G158" s="225"/>
      <c r="H158" s="225"/>
      <c r="I158" s="225"/>
      <c r="J158" s="225" t="s">
        <v>78</v>
      </c>
      <c r="K158" s="256"/>
      <c r="L158" s="256"/>
      <c r="M158" s="256"/>
      <c r="N158" s="256"/>
      <c r="O158" s="256"/>
    </row>
    <row r="159" spans="1:15" ht="15.75" x14ac:dyDescent="0.25">
      <c r="B159" s="162" t="s">
        <v>353</v>
      </c>
      <c r="C159" s="162"/>
      <c r="D159" s="225"/>
      <c r="E159" s="112"/>
      <c r="F159" s="225"/>
      <c r="G159" s="225"/>
      <c r="H159" s="225"/>
      <c r="I159" s="225"/>
      <c r="J159" s="225" t="s">
        <v>78</v>
      </c>
      <c r="K159" s="256"/>
      <c r="L159" s="256"/>
      <c r="M159" s="256"/>
      <c r="N159" s="256"/>
      <c r="O159" s="256"/>
    </row>
  </sheetData>
  <sheetProtection algorithmName="SHA-512" hashValue="k4Yd7K9aVaBKk+ieH2AZIP1f0XsZ038QOLeV9mc4PB8WvaRBcvBf1lamDgbecqrZ9abZs1zvP852d4ErFKr0ag==" saltValue="cXllfrJ5YpHnL6gwPlu/BQ==" spinCount="100000" sheet="1" objects="1" scenarios="1"/>
  <mergeCells count="30">
    <mergeCell ref="D80:F80"/>
    <mergeCell ref="D81:F81"/>
    <mergeCell ref="B82:AP82"/>
    <mergeCell ref="I20:J20"/>
    <mergeCell ref="B70:AP70"/>
    <mergeCell ref="K71:L71"/>
    <mergeCell ref="O71:P71"/>
    <mergeCell ref="U71:V71"/>
    <mergeCell ref="AM71:AN71"/>
    <mergeCell ref="B78:D78"/>
    <mergeCell ref="I71:J71"/>
    <mergeCell ref="H17:AP17"/>
    <mergeCell ref="B19:AP19"/>
    <mergeCell ref="K20:L20"/>
    <mergeCell ref="O20:P20"/>
    <mergeCell ref="U20:V20"/>
    <mergeCell ref="AM20:AN20"/>
    <mergeCell ref="AJ20:AK20"/>
    <mergeCell ref="H16:AP16"/>
    <mergeCell ref="H8:S8"/>
    <mergeCell ref="K9:L9"/>
    <mergeCell ref="B10:C10"/>
    <mergeCell ref="D10:I10"/>
    <mergeCell ref="AO10:AP10"/>
    <mergeCell ref="AO11:AP11"/>
    <mergeCell ref="AO12:AP12"/>
    <mergeCell ref="AO13:AP13"/>
    <mergeCell ref="H14:W14"/>
    <mergeCell ref="AO14:AP14"/>
    <mergeCell ref="H15:AP15"/>
  </mergeCells>
  <conditionalFormatting sqref="K73:K76">
    <cfRule type="expression" priority="4">
      <formula>IF($L$21:$L$65&gt;38,$L$21:$L$65&lt;35)</formula>
    </cfRule>
  </conditionalFormatting>
  <conditionalFormatting sqref="L21:N65">
    <cfRule type="expression" dxfId="1" priority="6">
      <formula>AND($G$21&gt;38,$G$21&lt;35)</formula>
    </cfRule>
  </conditionalFormatting>
  <conditionalFormatting sqref="L72:N76">
    <cfRule type="expression" dxfId="0" priority="1">
      <formula>AND($G$21&gt;38,$G$21&lt;35)</formula>
    </cfRule>
  </conditionalFormatting>
  <dataValidations disablePrompts="1" count="9">
    <dataValidation type="list" allowBlank="1" showInputMessage="1" showErrorMessage="1" sqref="K73:K76" xr:uid="{00000000-0002-0000-0100-000000000000}">
      <formula1>C73:D73</formula1>
    </dataValidation>
    <dataValidation type="list" allowBlank="1" showInputMessage="1" showErrorMessage="1" sqref="AL72:AL76" xr:uid="{00000000-0002-0000-0100-000001000000}">
      <formula1>C72:D72</formula1>
    </dataValidation>
    <dataValidation type="list" allowBlank="1" showInputMessage="1" showErrorMessage="1" sqref="L73:L76" xr:uid="{00000000-0002-0000-0100-000002000000}">
      <formula1>Ручка</formula1>
    </dataValidation>
    <dataValidation type="list" allowBlank="1" showInputMessage="1" showErrorMessage="1" promptTitle="Тыльная сторона" prompt="Тип покрытия на тыльной стороне детали" sqref="AN72 AF73 AG72:AG76" xr:uid="{00000000-0002-0000-0100-000003000000}">
      <formula1>#REF!</formula1>
    </dataValidation>
    <dataValidation allowBlank="1" showInputMessage="1" showErrorMessage="1" promptTitle="Цвет краски" prompt="Укажите цвет краски" sqref="V72:V76" xr:uid="{00000000-0002-0000-0100-000004000000}"/>
    <dataValidation type="list" allowBlank="1" showInputMessage="1" showErrorMessage="1" sqref="W75:Y75 W72:Z74 G72:G76 G22:G65 W76:Z76" xr:uid="{00000000-0002-0000-0100-000005000000}">
      <formula1>#REF!</formula1>
    </dataValidation>
    <dataValidation type="list" allowBlank="1" showInputMessage="1" showErrorMessage="1" promptTitle="Фрезерование кромки по периметру" prompt="Выберите из выпадающего списка тип фрезерования по периметру детали" sqref="H72 H75 H22:H65" xr:uid="{00000000-0002-0000-0100-000006000000}">
      <formula1>#REF!</formula1>
    </dataValidation>
    <dataValidation type="list" allowBlank="1" showInputMessage="1" showErrorMessage="1" promptTitle="Лицевая сторона" prompt="Тип покрытия на лицевой стороне детали" sqref="AF72" xr:uid="{00000000-0002-0000-0100-000007000000}">
      <formula1>#REF!</formula1>
    </dataValidation>
    <dataValidation type="list" allowBlank="1" showInputMessage="1" showErrorMessage="1" promptTitle="Цвет краски" prompt="Укажите цвет краски" sqref="U72:U76" xr:uid="{00000000-0002-0000-0100-000008000000}">
      <formula1>#REF!</formula1>
    </dataValidation>
  </dataValidations>
  <hyperlinks>
    <hyperlink ref="AP5" r:id="rId1" xr:uid="{00000000-0004-0000-0100-0000000000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U39"/>
  <sheetViews>
    <sheetView topLeftCell="A4" workbookViewId="0">
      <selection activeCell="E20" sqref="E20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8" max="8" width="12.42578125" bestFit="1" customWidth="1"/>
    <col min="9" max="9" width="17.85546875" bestFit="1" customWidth="1"/>
    <col min="10" max="11" width="8" bestFit="1" customWidth="1"/>
    <col min="12" max="12" width="6" bestFit="1" customWidth="1"/>
    <col min="13" max="13" width="13.140625" bestFit="1" customWidth="1"/>
    <col min="14" max="14" width="12.28515625" bestFit="1" customWidth="1"/>
    <col min="15" max="15" width="13.42578125" bestFit="1" customWidth="1"/>
    <col min="16" max="16" width="10.7109375" bestFit="1" customWidth="1"/>
    <col min="19" max="20" width="19.85546875" customWidth="1"/>
    <col min="21" max="21" width="12.28515625" customWidth="1"/>
  </cols>
  <sheetData>
    <row r="4" spans="3:21" x14ac:dyDescent="0.2">
      <c r="C4" t="s">
        <v>30</v>
      </c>
      <c r="E4" t="s">
        <v>113</v>
      </c>
      <c r="F4" t="s">
        <v>117</v>
      </c>
      <c r="G4" t="s">
        <v>54</v>
      </c>
      <c r="H4" s="22" t="s">
        <v>20</v>
      </c>
      <c r="I4" s="22" t="s">
        <v>186</v>
      </c>
      <c r="J4" t="s">
        <v>76</v>
      </c>
      <c r="K4" t="s">
        <v>75</v>
      </c>
      <c r="L4" s="22" t="s">
        <v>21</v>
      </c>
      <c r="O4" t="s">
        <v>81</v>
      </c>
      <c r="P4" t="s">
        <v>82</v>
      </c>
      <c r="R4" s="66" t="s">
        <v>3</v>
      </c>
      <c r="S4" s="103" t="s">
        <v>192</v>
      </c>
      <c r="T4" s="103" t="s">
        <v>193</v>
      </c>
      <c r="U4" s="68" t="s">
        <v>194</v>
      </c>
    </row>
    <row r="5" spans="3:21" x14ac:dyDescent="0.2">
      <c r="C5" s="63">
        <v>4</v>
      </c>
      <c r="E5" t="s">
        <v>111</v>
      </c>
      <c r="F5" t="s">
        <v>116</v>
      </c>
      <c r="G5" t="s">
        <v>31</v>
      </c>
      <c r="H5" s="22" t="s">
        <v>109</v>
      </c>
      <c r="I5" s="22" t="s">
        <v>187</v>
      </c>
      <c r="J5" t="s">
        <v>60</v>
      </c>
      <c r="K5" t="s">
        <v>78</v>
      </c>
      <c r="L5" s="22" t="s">
        <v>22</v>
      </c>
      <c r="N5" s="22" t="s">
        <v>122</v>
      </c>
      <c r="R5" s="68">
        <v>1</v>
      </c>
      <c r="S5" s="64" t="s">
        <v>195</v>
      </c>
      <c r="T5" s="64" t="s">
        <v>196</v>
      </c>
      <c r="U5" s="104">
        <v>1</v>
      </c>
    </row>
    <row r="6" spans="3:21" x14ac:dyDescent="0.2">
      <c r="C6" s="63">
        <v>6</v>
      </c>
      <c r="E6" t="s">
        <v>112</v>
      </c>
      <c r="F6" t="s">
        <v>118</v>
      </c>
      <c r="G6" t="s">
        <v>32</v>
      </c>
      <c r="H6" t="s">
        <v>108</v>
      </c>
      <c r="I6" s="22" t="s">
        <v>188</v>
      </c>
      <c r="J6" t="s">
        <v>61</v>
      </c>
      <c r="K6" t="s">
        <v>78</v>
      </c>
      <c r="L6" s="22" t="s">
        <v>23</v>
      </c>
      <c r="N6" s="22" t="s">
        <v>121</v>
      </c>
      <c r="R6" s="68">
        <v>2</v>
      </c>
      <c r="S6" s="64" t="s">
        <v>197</v>
      </c>
      <c r="T6" s="64" t="s">
        <v>198</v>
      </c>
      <c r="U6" s="104">
        <v>1</v>
      </c>
    </row>
    <row r="7" spans="3:21" x14ac:dyDescent="0.2">
      <c r="C7" s="63">
        <v>8</v>
      </c>
      <c r="E7" t="s">
        <v>189</v>
      </c>
      <c r="F7" t="s">
        <v>119</v>
      </c>
      <c r="G7" t="s">
        <v>33</v>
      </c>
      <c r="H7" s="22" t="s">
        <v>107</v>
      </c>
      <c r="I7" s="22" t="s">
        <v>107</v>
      </c>
      <c r="J7" t="s">
        <v>62</v>
      </c>
      <c r="K7" t="s">
        <v>79</v>
      </c>
      <c r="L7" s="22" t="s">
        <v>24</v>
      </c>
      <c r="R7" s="68">
        <v>3</v>
      </c>
      <c r="S7" s="64" t="s">
        <v>199</v>
      </c>
      <c r="T7" s="64" t="s">
        <v>200</v>
      </c>
      <c r="U7" s="104">
        <v>1</v>
      </c>
    </row>
    <row r="8" spans="3:21" ht="25.5" x14ac:dyDescent="0.2">
      <c r="C8" s="63">
        <v>10</v>
      </c>
      <c r="E8" t="s">
        <v>191</v>
      </c>
      <c r="F8" t="s">
        <v>120</v>
      </c>
      <c r="G8" t="s">
        <v>35</v>
      </c>
      <c r="H8" s="22"/>
      <c r="I8" s="22"/>
      <c r="J8" t="s">
        <v>63</v>
      </c>
      <c r="K8" t="s">
        <v>79</v>
      </c>
      <c r="L8" s="22" t="s">
        <v>25</v>
      </c>
      <c r="R8" s="68">
        <v>4</v>
      </c>
      <c r="S8" s="105" t="s">
        <v>201</v>
      </c>
      <c r="T8" s="105" t="s">
        <v>202</v>
      </c>
      <c r="U8" s="106">
        <v>2</v>
      </c>
    </row>
    <row r="9" spans="3:21" x14ac:dyDescent="0.2">
      <c r="C9" s="63">
        <v>16</v>
      </c>
      <c r="G9" t="s">
        <v>34</v>
      </c>
      <c r="H9" s="22"/>
      <c r="I9" s="22"/>
      <c r="J9" t="s">
        <v>64</v>
      </c>
      <c r="K9" t="s">
        <v>79</v>
      </c>
      <c r="L9" s="22" t="s">
        <v>26</v>
      </c>
      <c r="R9" s="68">
        <v>5</v>
      </c>
      <c r="S9" s="64" t="s">
        <v>203</v>
      </c>
      <c r="T9" s="64" t="s">
        <v>204</v>
      </c>
      <c r="U9" s="104">
        <v>1</v>
      </c>
    </row>
    <row r="10" spans="3:21" x14ac:dyDescent="0.2">
      <c r="C10" s="63">
        <v>19</v>
      </c>
      <c r="G10" t="s">
        <v>252</v>
      </c>
      <c r="H10" s="22"/>
      <c r="I10" s="22"/>
      <c r="J10" t="s">
        <v>65</v>
      </c>
      <c r="K10" t="s">
        <v>79</v>
      </c>
      <c r="L10" t="s">
        <v>27</v>
      </c>
      <c r="R10" s="68">
        <v>6</v>
      </c>
      <c r="S10" s="64" t="s">
        <v>205</v>
      </c>
      <c r="T10" s="64" t="s">
        <v>206</v>
      </c>
      <c r="U10" s="104">
        <v>2</v>
      </c>
    </row>
    <row r="11" spans="3:21" x14ac:dyDescent="0.2">
      <c r="C11" s="63">
        <v>22</v>
      </c>
      <c r="H11" s="22"/>
      <c r="J11" t="s">
        <v>66</v>
      </c>
      <c r="K11" t="s">
        <v>79</v>
      </c>
      <c r="R11" s="68">
        <v>7</v>
      </c>
      <c r="S11" s="64" t="s">
        <v>207</v>
      </c>
      <c r="T11" s="64" t="s">
        <v>208</v>
      </c>
      <c r="U11" s="104">
        <v>1</v>
      </c>
    </row>
    <row r="12" spans="3:21" x14ac:dyDescent="0.2">
      <c r="C12" t="s">
        <v>110</v>
      </c>
      <c r="H12" s="22"/>
      <c r="J12" t="s">
        <v>67</v>
      </c>
      <c r="K12" t="s">
        <v>78</v>
      </c>
      <c r="R12" s="68">
        <v>8</v>
      </c>
      <c r="S12" s="64" t="s">
        <v>209</v>
      </c>
      <c r="T12" s="64" t="s">
        <v>210</v>
      </c>
      <c r="U12" s="104">
        <v>1</v>
      </c>
    </row>
    <row r="13" spans="3:21" ht="25.5" x14ac:dyDescent="0.2">
      <c r="H13" s="22"/>
      <c r="J13" t="s">
        <v>68</v>
      </c>
      <c r="K13" t="s">
        <v>80</v>
      </c>
      <c r="R13" s="68">
        <v>9</v>
      </c>
      <c r="S13" s="64" t="s">
        <v>211</v>
      </c>
      <c r="T13" s="64" t="s">
        <v>212</v>
      </c>
      <c r="U13" s="104">
        <v>1</v>
      </c>
    </row>
    <row r="14" spans="3:21" x14ac:dyDescent="0.2">
      <c r="H14" s="22"/>
      <c r="J14" t="s">
        <v>69</v>
      </c>
      <c r="K14" t="s">
        <v>80</v>
      </c>
      <c r="R14" s="68">
        <v>10</v>
      </c>
      <c r="S14" s="64" t="s">
        <v>213</v>
      </c>
      <c r="T14" s="64" t="s">
        <v>214</v>
      </c>
      <c r="U14" s="104">
        <v>2</v>
      </c>
    </row>
    <row r="15" spans="3:21" x14ac:dyDescent="0.2">
      <c r="H15" s="22"/>
      <c r="J15" t="s">
        <v>70</v>
      </c>
      <c r="K15" t="s">
        <v>80</v>
      </c>
      <c r="R15" s="68">
        <v>11</v>
      </c>
      <c r="S15" s="64" t="s">
        <v>215</v>
      </c>
      <c r="T15" s="64" t="s">
        <v>216</v>
      </c>
      <c r="U15" s="104">
        <v>1</v>
      </c>
    </row>
    <row r="16" spans="3:21" x14ac:dyDescent="0.2">
      <c r="H16" s="22"/>
      <c r="J16" t="s">
        <v>71</v>
      </c>
      <c r="K16" t="s">
        <v>78</v>
      </c>
      <c r="R16" s="68">
        <v>12</v>
      </c>
      <c r="S16" s="64" t="s">
        <v>217</v>
      </c>
      <c r="T16" s="64" t="s">
        <v>218</v>
      </c>
      <c r="U16" s="104">
        <v>2</v>
      </c>
    </row>
    <row r="17" spans="3:21" x14ac:dyDescent="0.2">
      <c r="H17" s="22"/>
      <c r="J17" t="s">
        <v>72</v>
      </c>
      <c r="K17" t="s">
        <v>80</v>
      </c>
      <c r="R17" s="68">
        <v>13</v>
      </c>
      <c r="S17" s="64" t="s">
        <v>219</v>
      </c>
      <c r="T17" s="64" t="s">
        <v>220</v>
      </c>
      <c r="U17" s="104">
        <v>2</v>
      </c>
    </row>
    <row r="18" spans="3:21" x14ac:dyDescent="0.2">
      <c r="H18" s="22"/>
      <c r="J18" t="s">
        <v>73</v>
      </c>
      <c r="K18" t="s">
        <v>80</v>
      </c>
      <c r="R18" s="68">
        <v>14</v>
      </c>
      <c r="S18" s="64" t="s">
        <v>221</v>
      </c>
      <c r="T18" s="64" t="s">
        <v>222</v>
      </c>
      <c r="U18" s="104">
        <v>2</v>
      </c>
    </row>
    <row r="19" spans="3:21" ht="25.5" x14ac:dyDescent="0.2">
      <c r="H19" s="22"/>
      <c r="J19" t="s">
        <v>74</v>
      </c>
      <c r="K19" t="s">
        <v>80</v>
      </c>
      <c r="R19" s="68">
        <v>15</v>
      </c>
      <c r="S19" s="64" t="s">
        <v>223</v>
      </c>
      <c r="T19" s="64" t="s">
        <v>224</v>
      </c>
      <c r="U19" s="104">
        <v>2</v>
      </c>
    </row>
    <row r="20" spans="3:21" x14ac:dyDescent="0.2">
      <c r="I20" s="22"/>
      <c r="J20" t="s">
        <v>77</v>
      </c>
      <c r="K20" t="s">
        <v>78</v>
      </c>
      <c r="O20" s="22"/>
      <c r="R20" s="68">
        <v>16</v>
      </c>
      <c r="S20" s="64" t="s">
        <v>225</v>
      </c>
      <c r="T20" s="64" t="s">
        <v>226</v>
      </c>
      <c r="U20" s="104">
        <v>2</v>
      </c>
    </row>
    <row r="21" spans="3:21" x14ac:dyDescent="0.2">
      <c r="I21" s="22"/>
      <c r="J21" s="22" t="s">
        <v>355</v>
      </c>
      <c r="K21" s="22"/>
      <c r="O21" s="22"/>
      <c r="R21" s="68">
        <v>17</v>
      </c>
      <c r="S21" s="64" t="s">
        <v>227</v>
      </c>
      <c r="T21" s="64" t="s">
        <v>228</v>
      </c>
      <c r="U21" s="104">
        <v>2</v>
      </c>
    </row>
    <row r="22" spans="3:21" ht="25.5" x14ac:dyDescent="0.2">
      <c r="J22" t="s">
        <v>357</v>
      </c>
      <c r="R22" s="68">
        <v>18</v>
      </c>
      <c r="S22" s="64" t="s">
        <v>229</v>
      </c>
      <c r="T22" s="64" t="s">
        <v>230</v>
      </c>
      <c r="U22" s="104">
        <v>2</v>
      </c>
    </row>
    <row r="23" spans="3:21" x14ac:dyDescent="0.2">
      <c r="J23" t="s">
        <v>356</v>
      </c>
      <c r="R23" s="68">
        <v>19</v>
      </c>
      <c r="S23" s="64" t="s">
        <v>231</v>
      </c>
      <c r="T23" s="64" t="s">
        <v>232</v>
      </c>
      <c r="U23" s="104">
        <v>2</v>
      </c>
    </row>
    <row r="24" spans="3:21" ht="25.5" x14ac:dyDescent="0.2">
      <c r="J24" t="s">
        <v>358</v>
      </c>
      <c r="R24" s="68">
        <v>20</v>
      </c>
      <c r="S24" s="64" t="s">
        <v>233</v>
      </c>
      <c r="T24" s="64" t="s">
        <v>234</v>
      </c>
      <c r="U24" s="104">
        <v>1</v>
      </c>
    </row>
    <row r="25" spans="3:21" x14ac:dyDescent="0.2">
      <c r="J25" t="s">
        <v>359</v>
      </c>
      <c r="M25" s="22" t="s">
        <v>108</v>
      </c>
      <c r="N25" s="22" t="s">
        <v>109</v>
      </c>
      <c r="O25" s="22" t="s">
        <v>190</v>
      </c>
      <c r="R25" s="68">
        <v>21</v>
      </c>
      <c r="S25" s="64" t="s">
        <v>235</v>
      </c>
      <c r="T25" s="64" t="s">
        <v>236</v>
      </c>
      <c r="U25" s="104" t="s">
        <v>237</v>
      </c>
    </row>
    <row r="26" spans="3:21" ht="15" customHeight="1" x14ac:dyDescent="0.2">
      <c r="J26" t="s">
        <v>360</v>
      </c>
      <c r="M26" s="22" t="s">
        <v>187</v>
      </c>
      <c r="N26" s="22" t="s">
        <v>187</v>
      </c>
      <c r="O26" s="22" t="s">
        <v>107</v>
      </c>
      <c r="R26" s="68">
        <v>22</v>
      </c>
      <c r="S26" s="64" t="s">
        <v>238</v>
      </c>
      <c r="T26" s="64" t="s">
        <v>239</v>
      </c>
      <c r="U26" s="104">
        <v>2</v>
      </c>
    </row>
    <row r="27" spans="3:21" x14ac:dyDescent="0.2">
      <c r="J27" t="s">
        <v>361</v>
      </c>
      <c r="M27" s="22" t="s">
        <v>188</v>
      </c>
      <c r="R27" s="68">
        <v>23</v>
      </c>
      <c r="S27" s="64" t="s">
        <v>240</v>
      </c>
      <c r="T27" s="64" t="s">
        <v>241</v>
      </c>
      <c r="U27" s="104">
        <v>2</v>
      </c>
    </row>
    <row r="28" spans="3:21" x14ac:dyDescent="0.2">
      <c r="J28" t="s">
        <v>362</v>
      </c>
      <c r="R28" s="68">
        <v>24</v>
      </c>
      <c r="S28" s="64" t="s">
        <v>242</v>
      </c>
      <c r="T28" s="64" t="s">
        <v>243</v>
      </c>
      <c r="U28" s="104">
        <v>2</v>
      </c>
    </row>
    <row r="29" spans="3:21" x14ac:dyDescent="0.2">
      <c r="J29" t="s">
        <v>363</v>
      </c>
      <c r="R29" s="68">
        <v>25</v>
      </c>
      <c r="S29" s="64" t="s">
        <v>244</v>
      </c>
      <c r="T29" s="64" t="s">
        <v>245</v>
      </c>
      <c r="U29" s="104">
        <v>2</v>
      </c>
    </row>
    <row r="30" spans="3:21" x14ac:dyDescent="0.2">
      <c r="J30" t="s">
        <v>364</v>
      </c>
      <c r="R30" s="68">
        <v>26</v>
      </c>
      <c r="S30" s="64" t="s">
        <v>246</v>
      </c>
      <c r="T30" s="64" t="s">
        <v>247</v>
      </c>
      <c r="U30" s="104">
        <v>1</v>
      </c>
    </row>
    <row r="31" spans="3:21" x14ac:dyDescent="0.2">
      <c r="C31" t="s">
        <v>144</v>
      </c>
      <c r="D31" t="s">
        <v>145</v>
      </c>
      <c r="E31" t="s">
        <v>146</v>
      </c>
      <c r="F31" t="s">
        <v>147</v>
      </c>
      <c r="G31" t="s">
        <v>148</v>
      </c>
      <c r="J31" t="s">
        <v>365</v>
      </c>
      <c r="R31" s="68">
        <v>27</v>
      </c>
      <c r="S31" s="64" t="s">
        <v>248</v>
      </c>
      <c r="T31" s="64" t="s">
        <v>249</v>
      </c>
      <c r="U31" s="104">
        <v>2</v>
      </c>
    </row>
    <row r="32" spans="3:21" ht="25.5" x14ac:dyDescent="0.2">
      <c r="G32" t="s">
        <v>77</v>
      </c>
      <c r="J32" t="s">
        <v>366</v>
      </c>
      <c r="R32" s="68">
        <v>28</v>
      </c>
      <c r="S32" s="64" t="s">
        <v>250</v>
      </c>
      <c r="T32" s="64" t="s">
        <v>251</v>
      </c>
      <c r="U32" s="104">
        <v>2</v>
      </c>
    </row>
    <row r="33" spans="10:21" x14ac:dyDescent="0.2">
      <c r="J33" t="s">
        <v>367</v>
      </c>
      <c r="R33" s="68">
        <v>29</v>
      </c>
      <c r="S33" s="64"/>
      <c r="T33" s="64"/>
      <c r="U33" s="104"/>
    </row>
    <row r="34" spans="10:21" x14ac:dyDescent="0.2">
      <c r="J34" t="s">
        <v>368</v>
      </c>
      <c r="R34" s="68">
        <v>30</v>
      </c>
      <c r="S34" s="64"/>
      <c r="T34" s="64"/>
      <c r="U34" s="104"/>
    </row>
    <row r="35" spans="10:21" x14ac:dyDescent="0.2">
      <c r="J35" t="s">
        <v>369</v>
      </c>
      <c r="R35" s="68">
        <v>31</v>
      </c>
      <c r="S35" s="64"/>
      <c r="T35" s="64"/>
      <c r="U35" s="104"/>
    </row>
    <row r="36" spans="10:21" x14ac:dyDescent="0.2">
      <c r="J36" t="s">
        <v>370</v>
      </c>
      <c r="R36" s="68">
        <v>32</v>
      </c>
      <c r="S36" s="64"/>
      <c r="T36" s="64"/>
      <c r="U36" s="104"/>
    </row>
    <row r="37" spans="10:21" x14ac:dyDescent="0.2">
      <c r="R37" s="68">
        <v>33</v>
      </c>
      <c r="S37" s="64"/>
      <c r="T37" s="64"/>
      <c r="U37" s="104"/>
    </row>
    <row r="38" spans="10:21" x14ac:dyDescent="0.2">
      <c r="R38" s="68">
        <v>34</v>
      </c>
      <c r="S38" s="64"/>
      <c r="T38" s="64"/>
      <c r="U38" s="104"/>
    </row>
    <row r="39" spans="10:21" x14ac:dyDescent="0.2">
      <c r="R39" s="68">
        <v>35</v>
      </c>
      <c r="S39" s="64"/>
      <c r="T39" s="64"/>
      <c r="U39" s="104"/>
    </row>
  </sheetData>
  <sheetProtection algorithmName="SHA-512" hashValue="XavMG0R5jcCz8ihYqZ2Xz3qeoR75+SiXId6ugPxCRfeOmfiiVsSAyRDMMPWxwUiF4rnrKNN8JQ7ZKyq1c0IZDQ==" saltValue="qvL2ij2sTEJSLZ1Dc+ENn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L108"/>
  <sheetViews>
    <sheetView tabSelected="1" topLeftCell="A73" workbookViewId="0">
      <selection activeCell="I106" sqref="I106"/>
    </sheetView>
  </sheetViews>
  <sheetFormatPr defaultRowHeight="12.75" x14ac:dyDescent="0.2"/>
  <cols>
    <col min="2" max="2" width="6.140625" customWidth="1"/>
    <col min="3" max="3" width="13.28515625" customWidth="1"/>
    <col min="5" max="5" width="10.140625" bestFit="1" customWidth="1"/>
    <col min="7" max="7" width="7.140625" customWidth="1"/>
    <col min="8" max="8" width="21.85546875" customWidth="1"/>
    <col min="11" max="11" width="10.7109375" customWidth="1"/>
    <col min="12" max="12" width="11.42578125" customWidth="1"/>
  </cols>
  <sheetData>
    <row r="2" spans="2:12" x14ac:dyDescent="0.2">
      <c r="L2" s="71" t="s">
        <v>0</v>
      </c>
    </row>
    <row r="3" spans="2:12" x14ac:dyDescent="0.2">
      <c r="L3" s="71" t="s">
        <v>36</v>
      </c>
    </row>
    <row r="4" spans="2:12" x14ac:dyDescent="0.2">
      <c r="L4" s="71" t="s">
        <v>37</v>
      </c>
    </row>
    <row r="5" spans="2:12" x14ac:dyDescent="0.2">
      <c r="L5" s="71" t="s">
        <v>2</v>
      </c>
    </row>
    <row r="6" spans="2:12" x14ac:dyDescent="0.2">
      <c r="L6" s="72" t="s">
        <v>28</v>
      </c>
    </row>
    <row r="7" spans="2:12" x14ac:dyDescent="0.2">
      <c r="L7" s="73" t="s">
        <v>29</v>
      </c>
    </row>
    <row r="9" spans="2:12" ht="15" x14ac:dyDescent="0.25">
      <c r="B9" s="385" t="s">
        <v>126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</row>
    <row r="10" spans="2:12" x14ac:dyDescent="0.2">
      <c r="F10" s="76" t="s">
        <v>38</v>
      </c>
      <c r="G10" s="77" t="s">
        <v>16</v>
      </c>
    </row>
    <row r="11" spans="2:12" x14ac:dyDescent="0.2">
      <c r="B11" s="147"/>
      <c r="C11" s="147"/>
      <c r="D11" s="147"/>
      <c r="E11" s="147"/>
      <c r="F11" s="148"/>
      <c r="G11" s="149"/>
      <c r="H11" s="147"/>
      <c r="I11" s="147"/>
      <c r="J11" s="147"/>
      <c r="K11" s="147"/>
      <c r="L11" s="147"/>
    </row>
    <row r="12" spans="2:12" ht="15" x14ac:dyDescent="0.25">
      <c r="B12" s="382" t="s">
        <v>127</v>
      </c>
      <c r="C12" s="382"/>
      <c r="D12" s="383">
        <f>Бланк!$D$10</f>
        <v>0</v>
      </c>
      <c r="E12" s="383"/>
      <c r="F12" s="150"/>
      <c r="G12" s="150"/>
      <c r="H12" s="150"/>
      <c r="I12" s="150"/>
      <c r="J12" s="150"/>
      <c r="K12" s="150"/>
      <c r="L12" s="150"/>
    </row>
    <row r="13" spans="2:12" x14ac:dyDescent="0.2">
      <c r="B13" s="150"/>
      <c r="C13" s="150"/>
      <c r="D13" s="150"/>
      <c r="E13" s="150"/>
      <c r="F13" s="150"/>
      <c r="G13" s="150"/>
      <c r="H13" s="150"/>
      <c r="I13" s="150"/>
      <c r="J13" s="150"/>
      <c r="K13" s="150"/>
      <c r="L13" s="150"/>
    </row>
    <row r="14" spans="2:12" ht="14.25" x14ac:dyDescent="0.2">
      <c r="B14" s="150"/>
      <c r="C14" s="150"/>
      <c r="D14" s="151" t="s">
        <v>136</v>
      </c>
      <c r="E14" s="152">
        <f>Бланк!AH10</f>
        <v>0</v>
      </c>
      <c r="F14" s="150"/>
      <c r="G14" s="150"/>
      <c r="H14" s="150"/>
      <c r="I14" s="150"/>
      <c r="J14" s="150"/>
      <c r="K14" s="150"/>
      <c r="L14" s="150"/>
    </row>
    <row r="15" spans="2:12" ht="14.25" x14ac:dyDescent="0.2">
      <c r="B15" s="150"/>
      <c r="C15" s="150"/>
      <c r="D15" s="151" t="s">
        <v>137</v>
      </c>
      <c r="E15" s="159">
        <f>Бланк!AH11</f>
        <v>0</v>
      </c>
      <c r="F15" s="150"/>
      <c r="G15" s="150"/>
      <c r="H15" s="150"/>
      <c r="I15" s="150"/>
      <c r="J15" s="150"/>
      <c r="K15" s="150"/>
      <c r="L15" s="150"/>
    </row>
    <row r="16" spans="2:12" ht="14.25" x14ac:dyDescent="0.2">
      <c r="B16" s="150"/>
      <c r="C16" s="150"/>
      <c r="D16" s="151" t="s">
        <v>138</v>
      </c>
      <c r="E16" s="159">
        <f>Бланк!AH12</f>
        <v>0</v>
      </c>
      <c r="F16" s="150"/>
      <c r="G16" s="150"/>
      <c r="H16" s="150"/>
      <c r="I16" s="150"/>
      <c r="J16" s="150"/>
      <c r="K16" s="150"/>
      <c r="L16" s="150"/>
    </row>
    <row r="17" spans="2:12" ht="14.25" x14ac:dyDescent="0.2">
      <c r="B17" s="150"/>
      <c r="C17" s="150"/>
      <c r="D17" s="151" t="s">
        <v>139</v>
      </c>
      <c r="E17" s="159">
        <f>Бланк!AH13</f>
        <v>0</v>
      </c>
      <c r="F17" s="150"/>
      <c r="G17" s="150"/>
      <c r="H17" s="150"/>
      <c r="I17" s="150"/>
      <c r="J17" s="150"/>
      <c r="K17" s="150"/>
      <c r="L17" s="150"/>
    </row>
    <row r="18" spans="2:12" ht="14.25" x14ac:dyDescent="0.2">
      <c r="B18" s="150"/>
      <c r="C18" s="150"/>
      <c r="D18" s="151" t="s">
        <v>140</v>
      </c>
      <c r="E18" s="159">
        <f>Бланк!AH14</f>
        <v>0</v>
      </c>
      <c r="F18" s="150"/>
      <c r="G18" s="150"/>
      <c r="H18" s="150"/>
      <c r="I18" s="150"/>
      <c r="J18" s="150"/>
      <c r="K18" s="150"/>
      <c r="L18" s="150"/>
    </row>
    <row r="19" spans="2:12" x14ac:dyDescent="0.2"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7"/>
    </row>
    <row r="20" spans="2:12" x14ac:dyDescent="0.2">
      <c r="B20" s="153" t="s">
        <v>3</v>
      </c>
      <c r="C20" s="384" t="s">
        <v>128</v>
      </c>
      <c r="D20" s="384"/>
      <c r="E20" s="384"/>
      <c r="F20" s="384"/>
      <c r="G20" s="384"/>
      <c r="H20" s="384"/>
      <c r="I20" s="153" t="s">
        <v>75</v>
      </c>
      <c r="J20" s="153" t="s">
        <v>123</v>
      </c>
      <c r="K20" s="154" t="s">
        <v>130</v>
      </c>
      <c r="L20" s="155" t="s">
        <v>129</v>
      </c>
    </row>
    <row r="21" spans="2:12" x14ac:dyDescent="0.2">
      <c r="B21" s="81">
        <f>SUBTOTAL(103,$C$21:$C21)</f>
        <v>1</v>
      </c>
      <c r="C21" s="381" t="str">
        <f>Просчёт!$B86</f>
        <v xml:space="preserve"> Покриття матове відкрита пора/ламінат, категорія 1, 16 мм</v>
      </c>
      <c r="D21" s="381"/>
      <c r="E21" s="381"/>
      <c r="F21" s="381"/>
      <c r="G21" s="381"/>
      <c r="H21" s="381"/>
      <c r="I21" s="81" t="str">
        <f>Просчёт!$J86</f>
        <v>м²</v>
      </c>
      <c r="J21" s="146">
        <f>ROUND(Просчёт!$K86,3)</f>
        <v>0</v>
      </c>
      <c r="K21" s="95">
        <f>Просчёт!$M86</f>
        <v>4244</v>
      </c>
      <c r="L21" s="96">
        <f>Просчёт!$N86</f>
        <v>0</v>
      </c>
    </row>
    <row r="22" spans="2:12" x14ac:dyDescent="0.2">
      <c r="B22" s="81">
        <f>SUBTOTAL(103,$C$21:$C22)</f>
        <v>2</v>
      </c>
      <c r="C22" s="381" t="str">
        <f>Просчёт!$B87</f>
        <v xml:space="preserve"> Покриття матове відкрита пора/ламінат, категорія 2, 16 мм</v>
      </c>
      <c r="D22" s="381"/>
      <c r="E22" s="381"/>
      <c r="F22" s="381"/>
      <c r="G22" s="381"/>
      <c r="H22" s="381"/>
      <c r="I22" s="81" t="str">
        <f>Просчёт!$J87</f>
        <v>м²</v>
      </c>
      <c r="J22" s="146">
        <f>ROUND(Просчёт!$K87,3)</f>
        <v>0</v>
      </c>
      <c r="K22" s="95">
        <f>Просчёт!$M87</f>
        <v>4410</v>
      </c>
      <c r="L22" s="96">
        <f>Просчёт!$N87</f>
        <v>0</v>
      </c>
    </row>
    <row r="23" spans="2:12" x14ac:dyDescent="0.2">
      <c r="B23" s="81">
        <f>SUBTOTAL(103,$C$21:$C23)</f>
        <v>3</v>
      </c>
      <c r="C23" s="381" t="str">
        <f>Просчёт!$B88</f>
        <v xml:space="preserve"> Покриття матове відкрита пора/ламінат, категорія 1, 19 мм</v>
      </c>
      <c r="D23" s="381"/>
      <c r="E23" s="381"/>
      <c r="F23" s="381"/>
      <c r="G23" s="381"/>
      <c r="H23" s="381"/>
      <c r="I23" s="81" t="str">
        <f>Просчёт!$J88</f>
        <v>м²</v>
      </c>
      <c r="J23" s="146">
        <f>ROUND(Просчёт!$K88,3)</f>
        <v>0</v>
      </c>
      <c r="K23" s="95">
        <f>Просчёт!$M88</f>
        <v>4314</v>
      </c>
      <c r="L23" s="96">
        <f>Просчёт!$N88</f>
        <v>0</v>
      </c>
    </row>
    <row r="24" spans="2:12" x14ac:dyDescent="0.2">
      <c r="B24" s="81">
        <f>SUBTOTAL(103,$C$21:$C24)</f>
        <v>4</v>
      </c>
      <c r="C24" s="381" t="str">
        <f>Просчёт!$B89</f>
        <v xml:space="preserve"> Покриття матове відкрита пора/ламінат, категорія 2, 19 мм</v>
      </c>
      <c r="D24" s="381"/>
      <c r="E24" s="381"/>
      <c r="F24" s="381"/>
      <c r="G24" s="381"/>
      <c r="H24" s="381"/>
      <c r="I24" s="81" t="str">
        <f>Просчёт!$J89</f>
        <v>м²</v>
      </c>
      <c r="J24" s="146">
        <f>ROUND(Просчёт!$K89,3)</f>
        <v>0</v>
      </c>
      <c r="K24" s="95">
        <f>Просчёт!$M89</f>
        <v>4510</v>
      </c>
      <c r="L24" s="96">
        <f>Просчёт!$N89</f>
        <v>0</v>
      </c>
    </row>
    <row r="25" spans="2:12" x14ac:dyDescent="0.2">
      <c r="B25" s="81">
        <f>SUBTOTAL(103,$C$21:$C25)</f>
        <v>5</v>
      </c>
      <c r="C25" s="381" t="str">
        <f>Просчёт!$B90</f>
        <v xml:space="preserve"> Покриття матове відкрита пора/ламінат, категорія 1, 22 мм</v>
      </c>
      <c r="D25" s="381"/>
      <c r="E25" s="381"/>
      <c r="F25" s="381"/>
      <c r="G25" s="381"/>
      <c r="H25" s="381"/>
      <c r="I25" s="81" t="str">
        <f>Просчёт!$J90</f>
        <v>м²</v>
      </c>
      <c r="J25" s="146">
        <f>ROUND(Просчёт!$K90,3)</f>
        <v>0</v>
      </c>
      <c r="K25" s="95">
        <f>Просчёт!$M90</f>
        <v>5014</v>
      </c>
      <c r="L25" s="96">
        <f>Просчёт!$N90</f>
        <v>0</v>
      </c>
    </row>
    <row r="26" spans="2:12" x14ac:dyDescent="0.2">
      <c r="B26" s="81">
        <f>SUBTOTAL(103,$C$21:$C26)</f>
        <v>6</v>
      </c>
      <c r="C26" s="381" t="str">
        <f>Просчёт!$B91</f>
        <v xml:space="preserve"> Покриття матове відкрита пора/ламінат, категорія 2, 22 мм</v>
      </c>
      <c r="D26" s="381"/>
      <c r="E26" s="381"/>
      <c r="F26" s="381"/>
      <c r="G26" s="381"/>
      <c r="H26" s="381"/>
      <c r="I26" s="81" t="str">
        <f>Просчёт!$J91</f>
        <v>м²</v>
      </c>
      <c r="J26" s="146">
        <f>ROUND(Просчёт!$K91,3)</f>
        <v>0</v>
      </c>
      <c r="K26" s="95">
        <f>Просчёт!$M91</f>
        <v>5210</v>
      </c>
      <c r="L26" s="96">
        <f>Просчёт!$N91</f>
        <v>0</v>
      </c>
    </row>
    <row r="27" spans="2:12" x14ac:dyDescent="0.2">
      <c r="B27" s="81">
        <f>SUBTOTAL(103,$C$21:$C27)</f>
        <v>7</v>
      </c>
      <c r="C27" s="381" t="str">
        <f>Просчёт!$B92</f>
        <v xml:space="preserve"> Покриття матове закрита пора/ламінат, категорія 1, 16 мм</v>
      </c>
      <c r="D27" s="381"/>
      <c r="E27" s="381"/>
      <c r="F27" s="381"/>
      <c r="G27" s="381"/>
      <c r="H27" s="381"/>
      <c r="I27" s="81" t="str">
        <f>Просчёт!$J92</f>
        <v>м²</v>
      </c>
      <c r="J27" s="146">
        <f>ROUND(Просчёт!$K92,3)</f>
        <v>0</v>
      </c>
      <c r="K27" s="95">
        <f>Просчёт!$M92</f>
        <v>4874</v>
      </c>
      <c r="L27" s="96">
        <f>Просчёт!$N92</f>
        <v>0</v>
      </c>
    </row>
    <row r="28" spans="2:12" x14ac:dyDescent="0.2">
      <c r="B28" s="81">
        <f>SUBTOTAL(103,$C$21:$C28)</f>
        <v>8</v>
      </c>
      <c r="C28" s="381" t="str">
        <f>Просчёт!$B93</f>
        <v xml:space="preserve"> Покриття матове закрита пора/ламінат, категорія 2, 16 мм</v>
      </c>
      <c r="D28" s="381"/>
      <c r="E28" s="381"/>
      <c r="F28" s="381"/>
      <c r="G28" s="381"/>
      <c r="H28" s="381"/>
      <c r="I28" s="81" t="str">
        <f>Просчёт!$J93</f>
        <v>м²</v>
      </c>
      <c r="J28" s="146">
        <f>ROUND(Просчёт!$K93,3)</f>
        <v>0</v>
      </c>
      <c r="K28" s="95">
        <f>Просчёт!$M93</f>
        <v>5070</v>
      </c>
      <c r="L28" s="96">
        <f>Просчёт!$N93</f>
        <v>0</v>
      </c>
    </row>
    <row r="29" spans="2:12" x14ac:dyDescent="0.2">
      <c r="B29" s="81">
        <f>SUBTOTAL(103,$C$21:$C29)</f>
        <v>9</v>
      </c>
      <c r="C29" s="381" t="str">
        <f>Просчёт!$B94</f>
        <v xml:space="preserve"> Покриття матове закрита пора/ламінат, категорія 1, 19 мм</v>
      </c>
      <c r="D29" s="381"/>
      <c r="E29" s="381"/>
      <c r="F29" s="381"/>
      <c r="G29" s="381"/>
      <c r="H29" s="381"/>
      <c r="I29" s="81" t="str">
        <f>Просчёт!$J94</f>
        <v>м²</v>
      </c>
      <c r="J29" s="146">
        <f>ROUND(Просчёт!$K94,3)</f>
        <v>0</v>
      </c>
      <c r="K29" s="95">
        <f>Просчёт!$M94</f>
        <v>4944</v>
      </c>
      <c r="L29" s="96">
        <f>Просчёт!$N94</f>
        <v>0</v>
      </c>
    </row>
    <row r="30" spans="2:12" x14ac:dyDescent="0.2">
      <c r="B30" s="81">
        <f>SUBTOTAL(103,$C$21:$C30)</f>
        <v>10</v>
      </c>
      <c r="C30" s="381" t="str">
        <f>Просчёт!$B95</f>
        <v xml:space="preserve"> Покриття матове закрита пора/ламінат, категорія 2, 19 мм</v>
      </c>
      <c r="D30" s="381"/>
      <c r="E30" s="381"/>
      <c r="F30" s="381"/>
      <c r="G30" s="381"/>
      <c r="H30" s="381"/>
      <c r="I30" s="81" t="str">
        <f>Просчёт!$J95</f>
        <v>м²</v>
      </c>
      <c r="J30" s="146">
        <f>ROUND(Просчёт!$K95,3)</f>
        <v>0</v>
      </c>
      <c r="K30" s="95">
        <f>Просчёт!$M95</f>
        <v>5140</v>
      </c>
      <c r="L30" s="96">
        <f>Просчёт!$N95</f>
        <v>0</v>
      </c>
    </row>
    <row r="31" spans="2:12" x14ac:dyDescent="0.2">
      <c r="B31" s="81">
        <f>SUBTOTAL(103,$C$21:$C31)</f>
        <v>11</v>
      </c>
      <c r="C31" s="381" t="str">
        <f>Просчёт!$B96</f>
        <v xml:space="preserve"> Покриття матове закрита пора/ламінат, категорія 1, 22 мм</v>
      </c>
      <c r="D31" s="381"/>
      <c r="E31" s="381"/>
      <c r="F31" s="381"/>
      <c r="G31" s="381"/>
      <c r="H31" s="381"/>
      <c r="I31" s="81" t="str">
        <f>Просчёт!$J96</f>
        <v>м²</v>
      </c>
      <c r="J31" s="146">
        <f>ROUND(Просчёт!$K96,3)</f>
        <v>0</v>
      </c>
      <c r="K31" s="95">
        <f>Просчёт!$M96</f>
        <v>5644</v>
      </c>
      <c r="L31" s="96">
        <f>Просчёт!$N96</f>
        <v>0</v>
      </c>
    </row>
    <row r="32" spans="2:12" x14ac:dyDescent="0.2">
      <c r="B32" s="81">
        <f>SUBTOTAL(103,$C$21:$C32)</f>
        <v>12</v>
      </c>
      <c r="C32" s="381" t="str">
        <f>Просчёт!$B97</f>
        <v xml:space="preserve"> Покриття матове закрита пора/ламінат, категорія 2, 22 мм</v>
      </c>
      <c r="D32" s="381"/>
      <c r="E32" s="381"/>
      <c r="F32" s="381"/>
      <c r="G32" s="381"/>
      <c r="H32" s="381"/>
      <c r="I32" s="81" t="str">
        <f>Просчёт!$J97</f>
        <v>м²</v>
      </c>
      <c r="J32" s="146">
        <f>ROUND(Просчёт!$K97,3)</f>
        <v>0</v>
      </c>
      <c r="K32" s="95">
        <f>Просчёт!$M97</f>
        <v>5840</v>
      </c>
      <c r="L32" s="96">
        <f>Просчёт!$N97</f>
        <v>0</v>
      </c>
    </row>
    <row r="33" spans="2:12" x14ac:dyDescent="0.2">
      <c r="B33" s="81">
        <f>SUBTOTAL(103,$C$21:$C33)</f>
        <v>13</v>
      </c>
      <c r="C33" s="381" t="str">
        <f>Просчёт!$B98</f>
        <v xml:space="preserve"> Покриття глянець закрита пора/ламінат, категорія 1, 16 мм</v>
      </c>
      <c r="D33" s="381"/>
      <c r="E33" s="381"/>
      <c r="F33" s="381"/>
      <c r="G33" s="381"/>
      <c r="H33" s="381"/>
      <c r="I33" s="81" t="str">
        <f>Просчёт!$J98</f>
        <v>м²</v>
      </c>
      <c r="J33" s="146">
        <f>ROUND(Просчёт!$K98,3)</f>
        <v>0</v>
      </c>
      <c r="K33" s="95">
        <f>Просчёт!$M98</f>
        <v>5154</v>
      </c>
      <c r="L33" s="96">
        <f>Просчёт!$N98</f>
        <v>0</v>
      </c>
    </row>
    <row r="34" spans="2:12" x14ac:dyDescent="0.2">
      <c r="B34" s="81">
        <f>SUBTOTAL(103,$C$21:$C34)</f>
        <v>14</v>
      </c>
      <c r="C34" s="381" t="str">
        <f>Просчёт!$B99</f>
        <v xml:space="preserve"> Покриття глянець закрита пора/ламінат, категорія 2, 16 мм</v>
      </c>
      <c r="D34" s="381"/>
      <c r="E34" s="381"/>
      <c r="F34" s="381"/>
      <c r="G34" s="381"/>
      <c r="H34" s="381"/>
      <c r="I34" s="81" t="str">
        <f>Просчёт!$J99</f>
        <v>м²</v>
      </c>
      <c r="J34" s="146">
        <f>ROUND(Просчёт!$K99,3)</f>
        <v>0</v>
      </c>
      <c r="K34" s="95">
        <f>Просчёт!$M99</f>
        <v>5350</v>
      </c>
      <c r="L34" s="96">
        <f>Просчёт!$N99</f>
        <v>0</v>
      </c>
    </row>
    <row r="35" spans="2:12" x14ac:dyDescent="0.2">
      <c r="B35" s="81">
        <f>SUBTOTAL(103,$C$21:$C35)</f>
        <v>15</v>
      </c>
      <c r="C35" s="381" t="str">
        <f>Просчёт!$B100</f>
        <v xml:space="preserve"> Покриття глянець закрита пора/ламінат, категорія 1, 19 мм</v>
      </c>
      <c r="D35" s="381"/>
      <c r="E35" s="381"/>
      <c r="F35" s="381"/>
      <c r="G35" s="381"/>
      <c r="H35" s="381"/>
      <c r="I35" s="81" t="str">
        <f>Просчёт!$J100</f>
        <v>м²</v>
      </c>
      <c r="J35" s="146">
        <f>ROUND(Просчёт!$K100,3)</f>
        <v>0</v>
      </c>
      <c r="K35" s="95">
        <f>Просчёт!$M100</f>
        <v>5224</v>
      </c>
      <c r="L35" s="96">
        <f>Просчёт!$N100</f>
        <v>0</v>
      </c>
    </row>
    <row r="36" spans="2:12" x14ac:dyDescent="0.2">
      <c r="B36" s="81">
        <f>SUBTOTAL(103,$C$21:$C36)</f>
        <v>16</v>
      </c>
      <c r="C36" s="381" t="str">
        <f>Просчёт!$B101</f>
        <v xml:space="preserve"> Покриття глянець закрита пора/ламінат, категорія 2, 19 мм</v>
      </c>
      <c r="D36" s="381"/>
      <c r="E36" s="381"/>
      <c r="F36" s="381"/>
      <c r="G36" s="381"/>
      <c r="H36" s="381"/>
      <c r="I36" s="81" t="str">
        <f>Просчёт!$J101</f>
        <v>м²</v>
      </c>
      <c r="J36" s="146">
        <f>ROUND(Просчёт!$K101,3)</f>
        <v>0</v>
      </c>
      <c r="K36" s="95">
        <f>Просчёт!$M101</f>
        <v>5420</v>
      </c>
      <c r="L36" s="96">
        <f>Просчёт!$N101</f>
        <v>0</v>
      </c>
    </row>
    <row r="37" spans="2:12" x14ac:dyDescent="0.2">
      <c r="B37" s="81">
        <f>SUBTOTAL(103,$C$21:$C37)</f>
        <v>17</v>
      </c>
      <c r="C37" s="381" t="str">
        <f>Просчёт!$B102</f>
        <v xml:space="preserve"> Покриття глянець закрита пора/ламінат, категорія 1, 22 мм</v>
      </c>
      <c r="D37" s="381"/>
      <c r="E37" s="381"/>
      <c r="F37" s="381"/>
      <c r="G37" s="381"/>
      <c r="H37" s="381"/>
      <c r="I37" s="81" t="str">
        <f>Просчёт!$J102</f>
        <v>м²</v>
      </c>
      <c r="J37" s="146">
        <f>ROUND(Просчёт!$K102,3)</f>
        <v>0</v>
      </c>
      <c r="K37" s="95">
        <f>Просчёт!$M102</f>
        <v>5924</v>
      </c>
      <c r="L37" s="96">
        <f>Просчёт!$N102</f>
        <v>0</v>
      </c>
    </row>
    <row r="38" spans="2:12" x14ac:dyDescent="0.2">
      <c r="B38" s="81">
        <f>SUBTOTAL(103,$C$21:$C38)</f>
        <v>18</v>
      </c>
      <c r="C38" s="381" t="str">
        <f>Просчёт!$B103</f>
        <v xml:space="preserve"> Покриття глянець закрита пора/ламінат, категорія 2, 22 мм</v>
      </c>
      <c r="D38" s="381"/>
      <c r="E38" s="381"/>
      <c r="F38" s="381"/>
      <c r="G38" s="381"/>
      <c r="H38" s="381"/>
      <c r="I38" s="81" t="str">
        <f>Просчёт!$J103</f>
        <v>м²</v>
      </c>
      <c r="J38" s="146">
        <f>ROUND(Просчёт!$K103,3)</f>
        <v>0</v>
      </c>
      <c r="K38" s="95">
        <f>Просчёт!$M103</f>
        <v>6120</v>
      </c>
      <c r="L38" s="96">
        <f>Просчёт!$N103</f>
        <v>0</v>
      </c>
    </row>
    <row r="39" spans="2:12" x14ac:dyDescent="0.2">
      <c r="B39" s="153">
        <f>SUBTOTAL(103,$C$21:$C39)</f>
        <v>19</v>
      </c>
      <c r="C39" s="381" t="str">
        <f>Просчёт!$B104</f>
        <v xml:space="preserve"> Покриття матове відкрита пора/матове відкрита пора, категорія 1, 16 мм</v>
      </c>
      <c r="D39" s="381"/>
      <c r="E39" s="381"/>
      <c r="F39" s="381"/>
      <c r="G39" s="381"/>
      <c r="H39" s="381"/>
      <c r="I39" s="81" t="str">
        <f>Просчёт!$J104</f>
        <v>м²</v>
      </c>
      <c r="J39" s="146">
        <f>ROUND(Просчёт!$K104,3)</f>
        <v>0</v>
      </c>
      <c r="K39" s="95">
        <f>Просчёт!$M104</f>
        <v>7814</v>
      </c>
      <c r="L39" s="96">
        <f>Просчёт!$N104</f>
        <v>0</v>
      </c>
    </row>
    <row r="40" spans="2:12" x14ac:dyDescent="0.2">
      <c r="B40" s="81">
        <f>SUBTOTAL(103,$C$21:$C40)</f>
        <v>20</v>
      </c>
      <c r="C40" s="381" t="str">
        <f>Просчёт!$B105</f>
        <v xml:space="preserve"> Покриття матове відкрита пора/матове відкрита пора, категорія 2, 16 мм</v>
      </c>
      <c r="D40" s="381"/>
      <c r="E40" s="381"/>
      <c r="F40" s="381"/>
      <c r="G40" s="381"/>
      <c r="H40" s="381"/>
      <c r="I40" s="81" t="str">
        <f>Просчёт!$J105</f>
        <v>м²</v>
      </c>
      <c r="J40" s="146">
        <f>ROUND(Просчёт!$K105,3)</f>
        <v>0</v>
      </c>
      <c r="K40" s="95">
        <f>Просчёт!$M105</f>
        <v>8010</v>
      </c>
      <c r="L40" s="96">
        <f>Просчёт!$N105</f>
        <v>0</v>
      </c>
    </row>
    <row r="41" spans="2:12" x14ac:dyDescent="0.2">
      <c r="B41" s="81">
        <f>SUBTOTAL(103,$C$21:$C41)</f>
        <v>21</v>
      </c>
      <c r="C41" s="381" t="str">
        <f>Просчёт!$B106</f>
        <v xml:space="preserve"> Покриття матове відкрита пора/матове відкрита пора, категорія 1, 19 мм</v>
      </c>
      <c r="D41" s="381"/>
      <c r="E41" s="381"/>
      <c r="F41" s="381"/>
      <c r="G41" s="381"/>
      <c r="H41" s="381"/>
      <c r="I41" s="81" t="str">
        <f>Просчёт!$J106</f>
        <v>м²</v>
      </c>
      <c r="J41" s="146">
        <f>ROUND(Просчёт!$K106,3)</f>
        <v>0</v>
      </c>
      <c r="K41" s="95">
        <f>Просчёт!$M106</f>
        <v>7884</v>
      </c>
      <c r="L41" s="96">
        <f>Просчёт!$N106</f>
        <v>0</v>
      </c>
    </row>
    <row r="42" spans="2:12" x14ac:dyDescent="0.2">
      <c r="B42" s="81">
        <f>SUBTOTAL(103,$C$21:$C42)</f>
        <v>22</v>
      </c>
      <c r="C42" s="381" t="str">
        <f>Просчёт!$B107</f>
        <v xml:space="preserve"> Покриття матове відкрита пора/матове відкрита пора, категорія 2, 19 мм</v>
      </c>
      <c r="D42" s="381"/>
      <c r="E42" s="381"/>
      <c r="F42" s="381"/>
      <c r="G42" s="381"/>
      <c r="H42" s="381"/>
      <c r="I42" s="81" t="str">
        <f>Просчёт!$J107</f>
        <v>м²</v>
      </c>
      <c r="J42" s="146">
        <f>ROUND(Просчёт!$K107,3)</f>
        <v>0</v>
      </c>
      <c r="K42" s="95">
        <f>Просчёт!$M107</f>
        <v>8080</v>
      </c>
      <c r="L42" s="96">
        <f>Просчёт!$N107</f>
        <v>0</v>
      </c>
    </row>
    <row r="43" spans="2:12" x14ac:dyDescent="0.2">
      <c r="B43" s="81">
        <f>SUBTOTAL(103,$C$21:$C43)</f>
        <v>23</v>
      </c>
      <c r="C43" s="381" t="str">
        <f>Просчёт!$B108</f>
        <v xml:space="preserve"> Покриття матове відкрита пора/матове відкрита пора, категорія 1, 22 мм</v>
      </c>
      <c r="D43" s="381"/>
      <c r="E43" s="381"/>
      <c r="F43" s="381"/>
      <c r="G43" s="381"/>
      <c r="H43" s="381"/>
      <c r="I43" s="81" t="str">
        <f>Просчёт!$J108</f>
        <v>м²</v>
      </c>
      <c r="J43" s="146">
        <f>ROUND(Просчёт!$K108,3)</f>
        <v>0</v>
      </c>
      <c r="K43" s="95">
        <f>Просчёт!$M108</f>
        <v>8584</v>
      </c>
      <c r="L43" s="96">
        <f>Просчёт!$N108</f>
        <v>0</v>
      </c>
    </row>
    <row r="44" spans="2:12" x14ac:dyDescent="0.2">
      <c r="B44" s="81">
        <f>SUBTOTAL(103,$C$21:$C44)</f>
        <v>24</v>
      </c>
      <c r="C44" s="381" t="str">
        <f>Просчёт!$B109</f>
        <v xml:space="preserve"> Покриття матове відкрита пора/матове відкрита пора, категорія 2, 22, мм</v>
      </c>
      <c r="D44" s="381"/>
      <c r="E44" s="381"/>
      <c r="F44" s="381"/>
      <c r="G44" s="381"/>
      <c r="H44" s="381"/>
      <c r="I44" s="81" t="str">
        <f>Просчёт!$J109</f>
        <v>м²</v>
      </c>
      <c r="J44" s="146">
        <f>ROUND(Просчёт!$K109,3)</f>
        <v>0</v>
      </c>
      <c r="K44" s="95">
        <f>Просчёт!$M109</f>
        <v>8780</v>
      </c>
      <c r="L44" s="96">
        <f>Просчёт!$N109</f>
        <v>0</v>
      </c>
    </row>
    <row r="45" spans="2:12" x14ac:dyDescent="0.2">
      <c r="B45" s="81">
        <f>SUBTOTAL(103,$C$21:$C45)</f>
        <v>25</v>
      </c>
      <c r="C45" s="381" t="str">
        <f>Просчёт!$B110</f>
        <v xml:space="preserve"> Покриття матове закрита пора/матове відкрита пора, категорія 1, 16 мм</v>
      </c>
      <c r="D45" s="381"/>
      <c r="E45" s="381"/>
      <c r="F45" s="381"/>
      <c r="G45" s="381"/>
      <c r="H45" s="381"/>
      <c r="I45" s="81" t="str">
        <f>Просчёт!$J110</f>
        <v>м²</v>
      </c>
      <c r="J45" s="146">
        <f>ROUND(Просчёт!$K110,3)</f>
        <v>0</v>
      </c>
      <c r="K45" s="95">
        <f>Просчёт!$M110</f>
        <v>8514</v>
      </c>
      <c r="L45" s="96">
        <f>Просчёт!$N110</f>
        <v>0</v>
      </c>
    </row>
    <row r="46" spans="2:12" x14ac:dyDescent="0.2">
      <c r="B46" s="81">
        <f>SUBTOTAL(103,$C$21:$C46)</f>
        <v>26</v>
      </c>
      <c r="C46" s="381" t="str">
        <f>Просчёт!$B111</f>
        <v xml:space="preserve"> Покриття матове закрита пора/матове відкрита пора, категорія 2, 16 мм</v>
      </c>
      <c r="D46" s="381"/>
      <c r="E46" s="381"/>
      <c r="F46" s="381"/>
      <c r="G46" s="381"/>
      <c r="H46" s="381"/>
      <c r="I46" s="81" t="str">
        <f>Просчёт!$J111</f>
        <v>м²</v>
      </c>
      <c r="J46" s="146">
        <f>ROUND(Просчёт!$K111,3)</f>
        <v>0</v>
      </c>
      <c r="K46" s="95">
        <f>Просчёт!$M111</f>
        <v>8710</v>
      </c>
      <c r="L46" s="96">
        <f>Просчёт!$N111</f>
        <v>0</v>
      </c>
    </row>
    <row r="47" spans="2:12" x14ac:dyDescent="0.2">
      <c r="B47" s="81">
        <f>SUBTOTAL(103,$C$21:$C47)</f>
        <v>27</v>
      </c>
      <c r="C47" s="381" t="str">
        <f>Просчёт!$B112</f>
        <v xml:space="preserve"> Покриття матове закрита пора/матове відкрита пора, категорія 1, 19 мм</v>
      </c>
      <c r="D47" s="381"/>
      <c r="E47" s="381"/>
      <c r="F47" s="381"/>
      <c r="G47" s="381"/>
      <c r="H47" s="381"/>
      <c r="I47" s="81" t="str">
        <f>Просчёт!$J112</f>
        <v>м²</v>
      </c>
      <c r="J47" s="146">
        <f>ROUND(Просчёт!$K112,3)</f>
        <v>0</v>
      </c>
      <c r="K47" s="95">
        <f>Просчёт!$M112</f>
        <v>8584</v>
      </c>
      <c r="L47" s="96">
        <f>Просчёт!$N112</f>
        <v>0</v>
      </c>
    </row>
    <row r="48" spans="2:12" x14ac:dyDescent="0.2">
      <c r="B48" s="153">
        <f>SUBTOTAL(103,$C$21:$C48)</f>
        <v>28</v>
      </c>
      <c r="C48" s="381" t="str">
        <f>Просчёт!$B113</f>
        <v xml:space="preserve"> Покриття матове закрита пора/матове відкрита пора, категорія 2, 19 мм</v>
      </c>
      <c r="D48" s="381"/>
      <c r="E48" s="381"/>
      <c r="F48" s="381"/>
      <c r="G48" s="381"/>
      <c r="H48" s="381"/>
      <c r="I48" s="81" t="str">
        <f>Просчёт!$J113</f>
        <v>м²</v>
      </c>
      <c r="J48" s="146">
        <f>ROUND(Просчёт!$K113,3)</f>
        <v>0</v>
      </c>
      <c r="K48" s="95">
        <f>Просчёт!$M113</f>
        <v>8780</v>
      </c>
      <c r="L48" s="96">
        <f>Просчёт!$N113</f>
        <v>0</v>
      </c>
    </row>
    <row r="49" spans="2:12" x14ac:dyDescent="0.2">
      <c r="B49" s="81">
        <f>SUBTOTAL(103,$C$21:$C49)</f>
        <v>29</v>
      </c>
      <c r="C49" s="381" t="str">
        <f>Просчёт!$B114</f>
        <v xml:space="preserve"> Покриття матове закрита пора/матове відкрита пора, категорія 1, 22 мм</v>
      </c>
      <c r="D49" s="381"/>
      <c r="E49" s="381"/>
      <c r="F49" s="381"/>
      <c r="G49" s="381"/>
      <c r="H49" s="381"/>
      <c r="I49" s="81" t="str">
        <f>Просчёт!$J114</f>
        <v>м²</v>
      </c>
      <c r="J49" s="146">
        <f>ROUND(Просчёт!$K114,3)</f>
        <v>0</v>
      </c>
      <c r="K49" s="95">
        <f>Просчёт!$M114</f>
        <v>9284</v>
      </c>
      <c r="L49" s="96">
        <f>Просчёт!$N114</f>
        <v>0</v>
      </c>
    </row>
    <row r="50" spans="2:12" x14ac:dyDescent="0.2">
      <c r="B50" s="81">
        <f>SUBTOTAL(103,$C$21:$C50)</f>
        <v>30</v>
      </c>
      <c r="C50" s="381" t="str">
        <f>Просчёт!$B115</f>
        <v xml:space="preserve"> Покриття матове закрита пора/матове відкрита пора, категорія 2, 22 мм</v>
      </c>
      <c r="D50" s="381"/>
      <c r="E50" s="381"/>
      <c r="F50" s="381"/>
      <c r="G50" s="381"/>
      <c r="H50" s="381"/>
      <c r="I50" s="81" t="str">
        <f>Просчёт!$J115</f>
        <v>м²</v>
      </c>
      <c r="J50" s="146">
        <f>ROUND(Просчёт!$K115,3)</f>
        <v>0</v>
      </c>
      <c r="K50" s="95">
        <f>Просчёт!$M115</f>
        <v>9480</v>
      </c>
      <c r="L50" s="96">
        <f>Просчёт!$N115</f>
        <v>0</v>
      </c>
    </row>
    <row r="51" spans="2:12" x14ac:dyDescent="0.2">
      <c r="B51" s="81">
        <f>SUBTOTAL(103,$C$21:$C51)</f>
        <v>31</v>
      </c>
      <c r="C51" s="381" t="str">
        <f>Просчёт!$B116</f>
        <v xml:space="preserve"> Покриття глянець закрита пора/матове відкрита пора, категорія 1, 16 мм</v>
      </c>
      <c r="D51" s="381"/>
      <c r="E51" s="381"/>
      <c r="F51" s="381"/>
      <c r="G51" s="381"/>
      <c r="H51" s="381"/>
      <c r="I51" s="81" t="str">
        <f>Просчёт!$J116</f>
        <v>м²</v>
      </c>
      <c r="J51" s="146">
        <f>ROUND(Просчёт!$K116,3)</f>
        <v>0</v>
      </c>
      <c r="K51" s="95">
        <f>Просчёт!$M116</f>
        <v>8794</v>
      </c>
      <c r="L51" s="96">
        <f>Просчёт!$N116</f>
        <v>0</v>
      </c>
    </row>
    <row r="52" spans="2:12" x14ac:dyDescent="0.2">
      <c r="B52" s="81">
        <f>SUBTOTAL(103,$C$21:$C52)</f>
        <v>32</v>
      </c>
      <c r="C52" s="381" t="str">
        <f>Просчёт!$B117</f>
        <v xml:space="preserve"> Покриття глянець закрита пора/матове відкрита пора, категорія 2, 16 мм</v>
      </c>
      <c r="D52" s="381"/>
      <c r="E52" s="381"/>
      <c r="F52" s="381"/>
      <c r="G52" s="381"/>
      <c r="H52" s="381"/>
      <c r="I52" s="81" t="str">
        <f>Просчёт!$J117</f>
        <v>м²</v>
      </c>
      <c r="J52" s="146">
        <f>ROUND(Просчёт!$K117,3)</f>
        <v>0</v>
      </c>
      <c r="K52" s="95">
        <f>Просчёт!$M117</f>
        <v>8990</v>
      </c>
      <c r="L52" s="96">
        <f>Просчёт!$N117</f>
        <v>0</v>
      </c>
    </row>
    <row r="53" spans="2:12" x14ac:dyDescent="0.2">
      <c r="B53" s="81">
        <f>SUBTOTAL(103,$C$21:$C53)</f>
        <v>33</v>
      </c>
      <c r="C53" s="381" t="str">
        <f>Просчёт!$B118</f>
        <v xml:space="preserve"> Покриття глянець закрита пора/матове відкрита пора, категорія 1, 19 мм</v>
      </c>
      <c r="D53" s="381"/>
      <c r="E53" s="381"/>
      <c r="F53" s="381"/>
      <c r="G53" s="381"/>
      <c r="H53" s="381"/>
      <c r="I53" s="81" t="str">
        <f>Просчёт!$J118</f>
        <v>м²</v>
      </c>
      <c r="J53" s="146">
        <f>ROUND(Просчёт!$K118,3)</f>
        <v>0</v>
      </c>
      <c r="K53" s="95">
        <f>Просчёт!$M118</f>
        <v>8864</v>
      </c>
      <c r="L53" s="96">
        <f>Просчёт!$N118</f>
        <v>0</v>
      </c>
    </row>
    <row r="54" spans="2:12" x14ac:dyDescent="0.2">
      <c r="B54" s="81">
        <f>SUBTOTAL(103,$C$21:$C54)</f>
        <v>34</v>
      </c>
      <c r="C54" s="381" t="str">
        <f>Просчёт!$B119</f>
        <v xml:space="preserve"> Покриття глянець закрита пора/матове відкрита пора, категорія 2, 19 мм</v>
      </c>
      <c r="D54" s="381"/>
      <c r="E54" s="381"/>
      <c r="F54" s="381"/>
      <c r="G54" s="381"/>
      <c r="H54" s="381"/>
      <c r="I54" s="81" t="str">
        <f>Просчёт!$J119</f>
        <v>м²</v>
      </c>
      <c r="J54" s="146">
        <f>ROUND(Просчёт!$K119,3)</f>
        <v>0</v>
      </c>
      <c r="K54" s="95">
        <f>Просчёт!$M119</f>
        <v>9060</v>
      </c>
      <c r="L54" s="96">
        <f>Просчёт!$N119</f>
        <v>0</v>
      </c>
    </row>
    <row r="55" spans="2:12" x14ac:dyDescent="0.2">
      <c r="B55" s="81">
        <f>SUBTOTAL(103,$C$21:$C55)</f>
        <v>35</v>
      </c>
      <c r="C55" s="381" t="str">
        <f>Просчёт!$B120</f>
        <v xml:space="preserve"> Покриття глянець закрита пора/матове відкрита пора, категорія 1, 22 мм</v>
      </c>
      <c r="D55" s="381"/>
      <c r="E55" s="381"/>
      <c r="F55" s="381"/>
      <c r="G55" s="381"/>
      <c r="H55" s="381"/>
      <c r="I55" s="81" t="str">
        <f>Просчёт!$J120</f>
        <v>м²</v>
      </c>
      <c r="J55" s="146">
        <f>ROUND(Просчёт!$K120,3)</f>
        <v>0</v>
      </c>
      <c r="K55" s="95">
        <f>Просчёт!$M120</f>
        <v>9564</v>
      </c>
      <c r="L55" s="96">
        <f>Просчёт!$N120</f>
        <v>0</v>
      </c>
    </row>
    <row r="56" spans="2:12" x14ac:dyDescent="0.2">
      <c r="B56" s="81">
        <f>SUBTOTAL(103,$C$21:$C56)</f>
        <v>36</v>
      </c>
      <c r="C56" s="381" t="str">
        <f>Просчёт!$B121</f>
        <v xml:space="preserve"> Покриття глянець закрита пора/матове відкрита пора, категорія 2, 22 мм</v>
      </c>
      <c r="D56" s="381"/>
      <c r="E56" s="381"/>
      <c r="F56" s="381"/>
      <c r="G56" s="381"/>
      <c r="H56" s="381"/>
      <c r="I56" s="81" t="str">
        <f>Просчёт!$J121</f>
        <v>м²</v>
      </c>
      <c r="J56" s="146">
        <f>ROUND(Просчёт!$K121,3)</f>
        <v>0</v>
      </c>
      <c r="K56" s="95">
        <f>Просчёт!$M121</f>
        <v>9760</v>
      </c>
      <c r="L56" s="96">
        <f>Просчёт!$N121</f>
        <v>0</v>
      </c>
    </row>
    <row r="57" spans="2:12" x14ac:dyDescent="0.2">
      <c r="B57" s="81">
        <f>SUBTOTAL(103,$C$21:$C57)</f>
        <v>37</v>
      </c>
      <c r="C57" s="381" t="str">
        <f>Просчёт!$B122</f>
        <v xml:space="preserve"> Покриття матове відкрита пора/ламінат, категорія 1, радіусний фасад 16 мм</v>
      </c>
      <c r="D57" s="381"/>
      <c r="E57" s="381"/>
      <c r="F57" s="381"/>
      <c r="G57" s="381"/>
      <c r="H57" s="381"/>
      <c r="I57" s="81" t="str">
        <f>Просчёт!$J122</f>
        <v>м²</v>
      </c>
      <c r="J57" s="146">
        <f>ROUND(Просчёт!$K122,3)</f>
        <v>0</v>
      </c>
      <c r="K57" s="95">
        <f>Просчёт!$M122</f>
        <v>7044</v>
      </c>
      <c r="L57" s="96">
        <f>Просчёт!$N122</f>
        <v>0</v>
      </c>
    </row>
    <row r="58" spans="2:12" x14ac:dyDescent="0.2">
      <c r="B58" s="153">
        <f>SUBTOTAL(103,$C$21:$C58)</f>
        <v>38</v>
      </c>
      <c r="C58" s="381" t="str">
        <f>Просчёт!$B123</f>
        <v xml:space="preserve"> Покриття матове відкрита пора/ламінат, категорія 2, радіусний фасад 16 мм</v>
      </c>
      <c r="D58" s="381"/>
      <c r="E58" s="381"/>
      <c r="F58" s="381"/>
      <c r="G58" s="381"/>
      <c r="H58" s="381"/>
      <c r="I58" s="81" t="str">
        <f>Просчёт!$J123</f>
        <v>м²</v>
      </c>
      <c r="J58" s="146">
        <f>ROUND(Просчёт!$K123,3)</f>
        <v>0</v>
      </c>
      <c r="K58" s="95">
        <f>Просчёт!$M123</f>
        <v>7240</v>
      </c>
      <c r="L58" s="96">
        <f>Просчёт!$N123</f>
        <v>0</v>
      </c>
    </row>
    <row r="59" spans="2:12" x14ac:dyDescent="0.2">
      <c r="B59" s="81">
        <f>SUBTOTAL(103,$C$21:$C59)</f>
        <v>39</v>
      </c>
      <c r="C59" s="381" t="str">
        <f>Просчёт!$B124</f>
        <v xml:space="preserve"> Покриття матове відкрита пора/ламінат, категорія 1, радіусний фасад 19 мм</v>
      </c>
      <c r="D59" s="381"/>
      <c r="E59" s="381"/>
      <c r="F59" s="381"/>
      <c r="G59" s="381"/>
      <c r="H59" s="381"/>
      <c r="I59" s="81" t="str">
        <f>Просчёт!$J124</f>
        <v>м²</v>
      </c>
      <c r="J59" s="146">
        <f>ROUND(Просчёт!$K124,3)</f>
        <v>0</v>
      </c>
      <c r="K59" s="95">
        <f>Просчёт!$M124</f>
        <v>7114</v>
      </c>
      <c r="L59" s="96">
        <f>Просчёт!$N124</f>
        <v>0</v>
      </c>
    </row>
    <row r="60" spans="2:12" x14ac:dyDescent="0.2">
      <c r="B60" s="81">
        <f>SUBTOTAL(103,$C$21:$C60)</f>
        <v>40</v>
      </c>
      <c r="C60" s="381" t="str">
        <f>Просчёт!$B125</f>
        <v xml:space="preserve"> Покриття матове відкрита пора/ламінат, категорія 2, радіусний фасад 19 мм</v>
      </c>
      <c r="D60" s="381"/>
      <c r="E60" s="381"/>
      <c r="F60" s="381"/>
      <c r="G60" s="381"/>
      <c r="H60" s="381"/>
      <c r="I60" s="81" t="str">
        <f>Просчёт!$J125</f>
        <v>м²</v>
      </c>
      <c r="J60" s="146">
        <f>ROUND(Просчёт!$K125,3)</f>
        <v>0</v>
      </c>
      <c r="K60" s="95">
        <f>Просчёт!$M125</f>
        <v>7310</v>
      </c>
      <c r="L60" s="96">
        <f>Просчёт!$N125</f>
        <v>0</v>
      </c>
    </row>
    <row r="61" spans="2:12" x14ac:dyDescent="0.2">
      <c r="B61" s="81">
        <f>SUBTOTAL(103,$C$21:$C61)</f>
        <v>41</v>
      </c>
      <c r="C61" s="381" t="str">
        <f>Просчёт!$B126</f>
        <v xml:space="preserve"> Покриття матове закрита пора/ламінат, категорія 1, радіусний фасад 16 мм</v>
      </c>
      <c r="D61" s="381"/>
      <c r="E61" s="381"/>
      <c r="F61" s="381"/>
      <c r="G61" s="381"/>
      <c r="H61" s="381"/>
      <c r="I61" s="81" t="str">
        <f>Просчёт!$J126</f>
        <v>м²</v>
      </c>
      <c r="J61" s="146">
        <f>ROUND(Просчёт!$K126,3)</f>
        <v>0</v>
      </c>
      <c r="K61" s="95">
        <f>Просчёт!$M126</f>
        <v>7674</v>
      </c>
      <c r="L61" s="96">
        <f>Просчёт!$N126</f>
        <v>0</v>
      </c>
    </row>
    <row r="62" spans="2:12" x14ac:dyDescent="0.2">
      <c r="B62" s="81">
        <f>SUBTOTAL(103,$C$21:$C62)</f>
        <v>42</v>
      </c>
      <c r="C62" s="381" t="str">
        <f>Просчёт!$B127</f>
        <v xml:space="preserve"> Покриття матове закрита пора/ламінат, категорія 2, радіусний фасад 16 мм</v>
      </c>
      <c r="D62" s="381"/>
      <c r="E62" s="381"/>
      <c r="F62" s="381"/>
      <c r="G62" s="381"/>
      <c r="H62" s="381"/>
      <c r="I62" s="81" t="str">
        <f>Просчёт!$J127</f>
        <v>м²</v>
      </c>
      <c r="J62" s="146">
        <f>ROUND(Просчёт!$K127,3)</f>
        <v>0</v>
      </c>
      <c r="K62" s="95">
        <f>Просчёт!$M127</f>
        <v>7870</v>
      </c>
      <c r="L62" s="96">
        <f>Просчёт!$N127</f>
        <v>0</v>
      </c>
    </row>
    <row r="63" spans="2:12" x14ac:dyDescent="0.2">
      <c r="B63" s="81">
        <f>SUBTOTAL(103,$C$21:$C63)</f>
        <v>43</v>
      </c>
      <c r="C63" s="381" t="str">
        <f>Просчёт!$B128</f>
        <v xml:space="preserve"> Покриття матове закрита пора/ламінат, категорія 1, радіусний фасад 19 мм</v>
      </c>
      <c r="D63" s="381"/>
      <c r="E63" s="381"/>
      <c r="F63" s="381"/>
      <c r="G63" s="381"/>
      <c r="H63" s="381"/>
      <c r="I63" s="81" t="str">
        <f>Просчёт!$J128</f>
        <v>м²</v>
      </c>
      <c r="J63" s="146">
        <f>ROUND(Просчёт!$K128,3)</f>
        <v>0</v>
      </c>
      <c r="K63" s="95">
        <f>Просчёт!$M128</f>
        <v>7744</v>
      </c>
      <c r="L63" s="96">
        <f>Просчёт!$N128</f>
        <v>0</v>
      </c>
    </row>
    <row r="64" spans="2:12" x14ac:dyDescent="0.2">
      <c r="B64" s="81">
        <f>SUBTOTAL(103,$C$21:$C64)</f>
        <v>44</v>
      </c>
      <c r="C64" s="381" t="str">
        <f>Просчёт!$B129</f>
        <v xml:space="preserve"> Покриття матове закрита пора/ламінат, категорія 2, радіусний фасад 19 мм</v>
      </c>
      <c r="D64" s="381"/>
      <c r="E64" s="381"/>
      <c r="F64" s="381"/>
      <c r="G64" s="381"/>
      <c r="H64" s="381"/>
      <c r="I64" s="81" t="str">
        <f>Просчёт!$J129</f>
        <v>м²</v>
      </c>
      <c r="J64" s="146">
        <f>ROUND(Просчёт!$K129,3)</f>
        <v>0</v>
      </c>
      <c r="K64" s="95">
        <f>Просчёт!$M129</f>
        <v>7940</v>
      </c>
      <c r="L64" s="96">
        <f>Просчёт!$N129</f>
        <v>0</v>
      </c>
    </row>
    <row r="65" spans="2:12" x14ac:dyDescent="0.2">
      <c r="B65" s="81">
        <f>SUBTOTAL(103,$C$21:$C65)</f>
        <v>45</v>
      </c>
      <c r="C65" s="381" t="str">
        <f>Просчёт!$B130</f>
        <v xml:space="preserve"> Покриття глянець закрита пора/ламінат, категорія 1, радіусний фасад 16 мм</v>
      </c>
      <c r="D65" s="381"/>
      <c r="E65" s="381"/>
      <c r="F65" s="381"/>
      <c r="G65" s="381"/>
      <c r="H65" s="381"/>
      <c r="I65" s="81" t="str">
        <f>Просчёт!$J130</f>
        <v>м²</v>
      </c>
      <c r="J65" s="146">
        <f>ROUND(Просчёт!$K130,3)</f>
        <v>0</v>
      </c>
      <c r="K65" s="95">
        <f>Просчёт!$M130</f>
        <v>7954</v>
      </c>
      <c r="L65" s="96">
        <f>Просчёт!$N130</f>
        <v>0</v>
      </c>
    </row>
    <row r="66" spans="2:12" x14ac:dyDescent="0.2">
      <c r="B66" s="81">
        <f>SUBTOTAL(103,$C$21:$C66)</f>
        <v>46</v>
      </c>
      <c r="C66" s="381" t="str">
        <f>Просчёт!$B131</f>
        <v xml:space="preserve"> Покриття глянець закрита пора/ламінат, категорія 2, радіусний фасад 16 мм</v>
      </c>
      <c r="D66" s="381"/>
      <c r="E66" s="381"/>
      <c r="F66" s="381"/>
      <c r="G66" s="381"/>
      <c r="H66" s="381"/>
      <c r="I66" s="81" t="str">
        <f>Просчёт!$J131</f>
        <v>м²</v>
      </c>
      <c r="J66" s="146">
        <f>ROUND(Просчёт!$K131,3)</f>
        <v>0</v>
      </c>
      <c r="K66" s="95">
        <f>Просчёт!$M131</f>
        <v>8150</v>
      </c>
      <c r="L66" s="96">
        <f>Просчёт!$N131</f>
        <v>0</v>
      </c>
    </row>
    <row r="67" spans="2:12" x14ac:dyDescent="0.2">
      <c r="B67" s="81">
        <f>SUBTOTAL(103,$C$21:$C67)</f>
        <v>47</v>
      </c>
      <c r="C67" s="381" t="str">
        <f>Просчёт!$B132</f>
        <v xml:space="preserve"> Покриття глянець закрита пора/ламінат, категорія 1, радіусний фасад 19 мм</v>
      </c>
      <c r="D67" s="381"/>
      <c r="E67" s="381"/>
      <c r="F67" s="381"/>
      <c r="G67" s="381"/>
      <c r="H67" s="381"/>
      <c r="I67" s="81" t="str">
        <f>Просчёт!$J132</f>
        <v>м²</v>
      </c>
      <c r="J67" s="146">
        <f>ROUND(Просчёт!$K132,3)</f>
        <v>0</v>
      </c>
      <c r="K67" s="95">
        <f>Просчёт!$M132</f>
        <v>8024</v>
      </c>
      <c r="L67" s="96">
        <f>Просчёт!$N132</f>
        <v>0</v>
      </c>
    </row>
    <row r="68" spans="2:12" x14ac:dyDescent="0.2">
      <c r="B68" s="81">
        <f>SUBTOTAL(103,$C$21:$C68)</f>
        <v>48</v>
      </c>
      <c r="C68" s="381" t="str">
        <f>Просчёт!$B133</f>
        <v xml:space="preserve"> Покриття глянець закрита пора/ламінат, категорія 2, радіусний фасад 19 мм</v>
      </c>
      <c r="D68" s="381"/>
      <c r="E68" s="381"/>
      <c r="F68" s="381"/>
      <c r="G68" s="381"/>
      <c r="H68" s="381"/>
      <c r="I68" s="81" t="str">
        <f>Просчёт!$J133</f>
        <v>м²</v>
      </c>
      <c r="J68" s="146">
        <f>ROUND(Просчёт!$K133,3)</f>
        <v>0</v>
      </c>
      <c r="K68" s="95">
        <f>Просчёт!$M133</f>
        <v>8220</v>
      </c>
      <c r="L68" s="96">
        <f>Просчёт!$N133</f>
        <v>0</v>
      </c>
    </row>
    <row r="69" spans="2:12" x14ac:dyDescent="0.2">
      <c r="B69" s="153">
        <f>SUBTOTAL(103,$C$21:$C69)</f>
        <v>49</v>
      </c>
      <c r="C69" s="381" t="str">
        <f>Просчёт!$B134</f>
        <v xml:space="preserve"> Покриття матове відкрита пора/матове відкрита пора, категорія 1, радіусний фасад 16 мм</v>
      </c>
      <c r="D69" s="381"/>
      <c r="E69" s="381"/>
      <c r="F69" s="381"/>
      <c r="G69" s="381"/>
      <c r="H69" s="381"/>
      <c r="I69" s="81" t="str">
        <f>Просчёт!$J134</f>
        <v>м²</v>
      </c>
      <c r="J69" s="146">
        <f>ROUND(Просчёт!$K134,3)</f>
        <v>0</v>
      </c>
      <c r="K69" s="95">
        <f>Просчёт!$M134</f>
        <v>10614</v>
      </c>
      <c r="L69" s="96">
        <f>Просчёт!$N134</f>
        <v>0</v>
      </c>
    </row>
    <row r="70" spans="2:12" x14ac:dyDescent="0.2">
      <c r="B70" s="81">
        <f>SUBTOTAL(103,$C$21:$C70)</f>
        <v>50</v>
      </c>
      <c r="C70" s="381" t="str">
        <f>Просчёт!$B135</f>
        <v xml:space="preserve"> Покриття матове відкрита пора/матове відкрита пора, категорія 2, радіусний фасад 16 мм</v>
      </c>
      <c r="D70" s="381"/>
      <c r="E70" s="381"/>
      <c r="F70" s="381"/>
      <c r="G70" s="381"/>
      <c r="H70" s="381"/>
      <c r="I70" s="81" t="str">
        <f>Просчёт!$J135</f>
        <v>м²</v>
      </c>
      <c r="J70" s="146">
        <f>ROUND(Просчёт!$K135,3)</f>
        <v>0</v>
      </c>
      <c r="K70" s="95">
        <f>Просчёт!$M135</f>
        <v>10810</v>
      </c>
      <c r="L70" s="96">
        <f>Просчёт!$N135</f>
        <v>0</v>
      </c>
    </row>
    <row r="71" spans="2:12" x14ac:dyDescent="0.2">
      <c r="B71" s="81">
        <f>SUBTOTAL(103,$C$21:$C71)</f>
        <v>51</v>
      </c>
      <c r="C71" s="381" t="str">
        <f>Просчёт!$B136</f>
        <v xml:space="preserve"> Покриття матове відкрита пора/матове відкрита пора, категорія 1, радіусний фасад 19 мм</v>
      </c>
      <c r="D71" s="381"/>
      <c r="E71" s="381"/>
      <c r="F71" s="381"/>
      <c r="G71" s="381"/>
      <c r="H71" s="381"/>
      <c r="I71" s="81" t="str">
        <f>Просчёт!$J136</f>
        <v>м²</v>
      </c>
      <c r="J71" s="146">
        <f>ROUND(Просчёт!$K136,3)</f>
        <v>0</v>
      </c>
      <c r="K71" s="95">
        <f>Просчёт!$M136</f>
        <v>10684</v>
      </c>
      <c r="L71" s="96">
        <f>Просчёт!$N136</f>
        <v>0</v>
      </c>
    </row>
    <row r="72" spans="2:12" x14ac:dyDescent="0.2">
      <c r="B72" s="81">
        <f>SUBTOTAL(103,$C$21:$C72)</f>
        <v>52</v>
      </c>
      <c r="C72" s="381" t="str">
        <f>Просчёт!$B137</f>
        <v xml:space="preserve"> Покриття матове відкрита пора/матове відкрита пора, категорія 2, радіусний фасад 19 мм</v>
      </c>
      <c r="D72" s="381"/>
      <c r="E72" s="381"/>
      <c r="F72" s="381"/>
      <c r="G72" s="381"/>
      <c r="H72" s="381"/>
      <c r="I72" s="81" t="str">
        <f>Просчёт!$J137</f>
        <v>м²</v>
      </c>
      <c r="J72" s="146">
        <f>ROUND(Просчёт!$K137,3)</f>
        <v>0</v>
      </c>
      <c r="K72" s="95">
        <f>Просчёт!$M137</f>
        <v>10880</v>
      </c>
      <c r="L72" s="96">
        <f>Просчёт!$N137</f>
        <v>0</v>
      </c>
    </row>
    <row r="73" spans="2:12" x14ac:dyDescent="0.2">
      <c r="B73" s="153">
        <f>SUBTOTAL(103,$C$21:$C73)</f>
        <v>53</v>
      </c>
      <c r="C73" s="381" t="str">
        <f>Просчёт!$B138</f>
        <v xml:space="preserve"> Покриття матове закрита пора/матове відкрита пора, категорія 1, радіусний фасад 16 мм</v>
      </c>
      <c r="D73" s="381"/>
      <c r="E73" s="381"/>
      <c r="F73" s="381"/>
      <c r="G73" s="381"/>
      <c r="H73" s="381"/>
      <c r="I73" s="81" t="str">
        <f>Просчёт!$J138</f>
        <v>м²</v>
      </c>
      <c r="J73" s="146">
        <f>ROUND(Просчёт!$K138,3)</f>
        <v>0</v>
      </c>
      <c r="K73" s="95">
        <f>Просчёт!$M138</f>
        <v>11314</v>
      </c>
      <c r="L73" s="96">
        <f>Просчёт!$N138</f>
        <v>0</v>
      </c>
    </row>
    <row r="74" spans="2:12" x14ac:dyDescent="0.2">
      <c r="B74" s="81">
        <f>SUBTOTAL(103,$C$21:$C74)</f>
        <v>54</v>
      </c>
      <c r="C74" s="381" t="str">
        <f>Просчёт!$B139</f>
        <v xml:space="preserve"> Покриття матове закрита пора/матове відкрита пора, категорія 2, радіусний фасад 16 мм</v>
      </c>
      <c r="D74" s="381"/>
      <c r="E74" s="381"/>
      <c r="F74" s="381"/>
      <c r="G74" s="381"/>
      <c r="H74" s="381"/>
      <c r="I74" s="81" t="str">
        <f>Просчёт!$J139</f>
        <v>м²</v>
      </c>
      <c r="J74" s="146">
        <f>ROUND(Просчёт!$K139,3)</f>
        <v>0</v>
      </c>
      <c r="K74" s="95">
        <f>Просчёт!$M139</f>
        <v>11510</v>
      </c>
      <c r="L74" s="96">
        <f>Просчёт!$N139</f>
        <v>0</v>
      </c>
    </row>
    <row r="75" spans="2:12" x14ac:dyDescent="0.2">
      <c r="B75" s="81">
        <f>SUBTOTAL(103,$C$21:$C75)</f>
        <v>55</v>
      </c>
      <c r="C75" s="381" t="str">
        <f>Просчёт!$B140</f>
        <v xml:space="preserve"> Покриття матове закрита пора/матове відкрита пора, категорія 1, радіусний фасад 19 мм</v>
      </c>
      <c r="D75" s="381"/>
      <c r="E75" s="381"/>
      <c r="F75" s="381"/>
      <c r="G75" s="381"/>
      <c r="H75" s="381"/>
      <c r="I75" s="81" t="str">
        <f>Просчёт!$J140</f>
        <v>м²</v>
      </c>
      <c r="J75" s="146">
        <f>ROUND(Просчёт!$K140,3)</f>
        <v>0</v>
      </c>
      <c r="K75" s="95">
        <f>Просчёт!$M140</f>
        <v>11384</v>
      </c>
      <c r="L75" s="96">
        <f>Просчёт!$N140</f>
        <v>0</v>
      </c>
    </row>
    <row r="76" spans="2:12" x14ac:dyDescent="0.2">
      <c r="B76" s="153">
        <f>SUBTOTAL(103,$C$21:$C76)</f>
        <v>56</v>
      </c>
      <c r="C76" s="381" t="str">
        <f>Просчёт!$B141</f>
        <v xml:space="preserve"> Покриття матове закрита пора/матове відкрита пора, категорія 2, радіусний фасад 19 мм</v>
      </c>
      <c r="D76" s="381"/>
      <c r="E76" s="381"/>
      <c r="F76" s="381"/>
      <c r="G76" s="381"/>
      <c r="H76" s="381"/>
      <c r="I76" s="81" t="str">
        <f>Просчёт!$J141</f>
        <v>м²</v>
      </c>
      <c r="J76" s="146">
        <f>ROUND(Просчёт!$K141,3)</f>
        <v>0</v>
      </c>
      <c r="K76" s="95">
        <f>Просчёт!$M141</f>
        <v>11580</v>
      </c>
      <c r="L76" s="96">
        <f>Просчёт!$N141</f>
        <v>0</v>
      </c>
    </row>
    <row r="77" spans="2:12" x14ac:dyDescent="0.2">
      <c r="B77" s="153">
        <f>SUBTOTAL(103,$C$21:$C77)</f>
        <v>57</v>
      </c>
      <c r="C77" s="381" t="str">
        <f>Просчёт!$B142</f>
        <v xml:space="preserve"> Покриття глянець закрита пора/матове відкрита пора, категорія 1, радіусний фасад 16 мм</v>
      </c>
      <c r="D77" s="381"/>
      <c r="E77" s="381"/>
      <c r="F77" s="381"/>
      <c r="G77" s="381"/>
      <c r="H77" s="381"/>
      <c r="I77" s="81" t="str">
        <f>Просчёт!$J142</f>
        <v>м²</v>
      </c>
      <c r="J77" s="146">
        <f>ROUND(Просчёт!$K142,3)</f>
        <v>0</v>
      </c>
      <c r="K77" s="95">
        <f>Просчёт!$M142</f>
        <v>11594</v>
      </c>
      <c r="L77" s="96">
        <f>Просчёт!$N142</f>
        <v>0</v>
      </c>
    </row>
    <row r="78" spans="2:12" x14ac:dyDescent="0.2">
      <c r="B78" s="81">
        <f>SUBTOTAL(103,$C$21:$C78)</f>
        <v>58</v>
      </c>
      <c r="C78" s="381" t="str">
        <f>Просчёт!$B143</f>
        <v xml:space="preserve"> Покриття глянець закрита пора/матове відкрита пора, категорія 2, радіусний фасад 16 мм</v>
      </c>
      <c r="D78" s="381"/>
      <c r="E78" s="381"/>
      <c r="F78" s="381"/>
      <c r="G78" s="381"/>
      <c r="H78" s="381"/>
      <c r="I78" s="81" t="str">
        <f>Просчёт!$J143</f>
        <v>м²</v>
      </c>
      <c r="J78" s="146">
        <f>ROUND(Просчёт!$K143,3)</f>
        <v>0</v>
      </c>
      <c r="K78" s="95">
        <f>Просчёт!$M143</f>
        <v>11790</v>
      </c>
      <c r="L78" s="96">
        <f>Просчёт!$N143</f>
        <v>0</v>
      </c>
    </row>
    <row r="79" spans="2:12" x14ac:dyDescent="0.2">
      <c r="B79" s="81">
        <f>SUBTOTAL(103,$C$21:$C79)</f>
        <v>59</v>
      </c>
      <c r="C79" s="381" t="str">
        <f>Просчёт!$B144</f>
        <v xml:space="preserve"> Покриття глянець закрита пора/матове відкрита пора, категорія 1, радіусний фасад 19 мм</v>
      </c>
      <c r="D79" s="381"/>
      <c r="E79" s="381"/>
      <c r="F79" s="381"/>
      <c r="G79" s="381"/>
      <c r="H79" s="381"/>
      <c r="I79" s="81" t="str">
        <f>Просчёт!$J144</f>
        <v>м²</v>
      </c>
      <c r="J79" s="146">
        <f>ROUND(Просчёт!$K144,3)</f>
        <v>0</v>
      </c>
      <c r="K79" s="95">
        <f>Просчёт!$M144</f>
        <v>11664</v>
      </c>
      <c r="L79" s="96">
        <f>Просчёт!$N144</f>
        <v>0</v>
      </c>
    </row>
    <row r="80" spans="2:12" x14ac:dyDescent="0.2">
      <c r="B80" s="81">
        <f>SUBTOTAL(103,$C$21:$C80)</f>
        <v>60</v>
      </c>
      <c r="C80" s="381" t="str">
        <f>Просчёт!$B145</f>
        <v xml:space="preserve"> Покриття глянець закрита пора/матове відкрита пора, категорія 2, радіусний фасад 19 мм</v>
      </c>
      <c r="D80" s="381"/>
      <c r="E80" s="381"/>
      <c r="F80" s="381"/>
      <c r="G80" s="381"/>
      <c r="H80" s="381"/>
      <c r="I80" s="81" t="str">
        <f>Просчёт!$J145</f>
        <v>м²</v>
      </c>
      <c r="J80" s="146">
        <f>ROUND(Просчёт!$K145,3)</f>
        <v>0</v>
      </c>
      <c r="K80" s="95">
        <f>Просчёт!$M145</f>
        <v>11860</v>
      </c>
      <c r="L80" s="96">
        <f>Просчёт!$N145</f>
        <v>0</v>
      </c>
    </row>
    <row r="81" spans="2:12" x14ac:dyDescent="0.2">
      <c r="B81" s="81">
        <f>SUBTOTAL(103,$C$21:$C81)</f>
        <v>61</v>
      </c>
      <c r="C81" s="381" t="str">
        <f>Просчёт!$B146</f>
        <v>Вітрина без чверті, плоский фасад</v>
      </c>
      <c r="D81" s="381"/>
      <c r="E81" s="381"/>
      <c r="F81" s="381"/>
      <c r="G81" s="381"/>
      <c r="H81" s="381"/>
      <c r="I81" s="81" t="str">
        <f>Просчёт!$J146</f>
        <v>шт.</v>
      </c>
      <c r="J81" s="146">
        <f>ROUND(Просчёт!$K146,3)</f>
        <v>0</v>
      </c>
      <c r="K81" s="95">
        <f>Просчёт!$M146</f>
        <v>300</v>
      </c>
      <c r="L81" s="96">
        <f>Просчёт!$N146</f>
        <v>0</v>
      </c>
    </row>
    <row r="82" spans="2:12" x14ac:dyDescent="0.2">
      <c r="B82" s="81">
        <f>SUBTOTAL(103,$C$21:$C82)</f>
        <v>62</v>
      </c>
      <c r="C82" s="381" t="str">
        <f>Просчёт!$B147</f>
        <v>Вітрина з чвертю, плоский фасад</v>
      </c>
      <c r="D82" s="381"/>
      <c r="E82" s="381"/>
      <c r="F82" s="381"/>
      <c r="G82" s="381"/>
      <c r="H82" s="381"/>
      <c r="I82" s="81" t="str">
        <f>Просчёт!$J147</f>
        <v>шт.</v>
      </c>
      <c r="J82" s="146">
        <f>ROUND(Просчёт!$K147,3)</f>
        <v>0</v>
      </c>
      <c r="K82" s="95">
        <f>Просчёт!$M147</f>
        <v>345</v>
      </c>
      <c r="L82" s="96">
        <f>Просчёт!$N147</f>
        <v>0</v>
      </c>
    </row>
    <row r="83" spans="2:12" x14ac:dyDescent="0.2">
      <c r="B83" s="81">
        <f>SUBTOTAL(103,$C$21:$C83)</f>
        <v>63</v>
      </c>
      <c r="C83" s="381" t="str">
        <f>Просчёт!$B148</f>
        <v>Вітрина радіусний фасад без чверті</v>
      </c>
      <c r="D83" s="381"/>
      <c r="E83" s="381"/>
      <c r="F83" s="381"/>
      <c r="G83" s="381"/>
      <c r="H83" s="381"/>
      <c r="I83" s="81" t="str">
        <f>Просчёт!$J148</f>
        <v>шт.</v>
      </c>
      <c r="J83" s="146">
        <f>ROUND(Просчёт!$K148,3)</f>
        <v>0</v>
      </c>
      <c r="K83" s="95">
        <f>Просчёт!$M148</f>
        <v>550</v>
      </c>
      <c r="L83" s="96">
        <f>Просчёт!$N148</f>
        <v>0</v>
      </c>
    </row>
    <row r="84" spans="2:12" x14ac:dyDescent="0.2">
      <c r="B84" s="81">
        <f>SUBTOTAL(103,$C$21:$C84)</f>
        <v>64</v>
      </c>
      <c r="C84" s="381" t="str">
        <f>Просчёт!$B149</f>
        <v>Вітрина радіусний фасад з чвертю</v>
      </c>
      <c r="D84" s="381"/>
      <c r="E84" s="381"/>
      <c r="F84" s="381"/>
      <c r="G84" s="381"/>
      <c r="H84" s="381"/>
      <c r="I84" s="81" t="str">
        <f>Просчёт!$J149</f>
        <v>шт.</v>
      </c>
      <c r="J84" s="146">
        <f>ROUND(Просчёт!$K149,3)</f>
        <v>0</v>
      </c>
      <c r="K84" s="95">
        <f>Просчёт!$M149</f>
        <v>595</v>
      </c>
      <c r="L84" s="96">
        <f>Просчёт!$N149</f>
        <v>0</v>
      </c>
    </row>
    <row r="85" spans="2:12" x14ac:dyDescent="0.2">
      <c r="B85" s="81">
        <f>SUBTOTAL(103,$C$21:$C85)</f>
        <v>65</v>
      </c>
      <c r="C85" s="381" t="str">
        <f>Просчёт!$B150</f>
        <v>Ручка тип "J" пряма</v>
      </c>
      <c r="D85" s="381"/>
      <c r="E85" s="381"/>
      <c r="F85" s="381"/>
      <c r="G85" s="381"/>
      <c r="H85" s="381"/>
      <c r="I85" s="81" t="str">
        <f>Просчёт!$J150</f>
        <v>м.п.</v>
      </c>
      <c r="J85" s="146">
        <f>ROUND(Просчёт!$K150,3)</f>
        <v>0</v>
      </c>
      <c r="K85" s="95">
        <f>Просчёт!$M150</f>
        <v>315</v>
      </c>
      <c r="L85" s="96">
        <f>Просчёт!$N150</f>
        <v>0</v>
      </c>
    </row>
    <row r="86" spans="2:12" x14ac:dyDescent="0.2">
      <c r="B86" s="81">
        <f>SUBTOTAL(103,$C$21:$C86)</f>
        <v>66</v>
      </c>
      <c r="C86" s="381" t="str">
        <f>Просчёт!$B151</f>
        <v>Ручка тип "J" тупікова</v>
      </c>
      <c r="D86" s="381"/>
      <c r="E86" s="381"/>
      <c r="F86" s="381"/>
      <c r="G86" s="381"/>
      <c r="H86" s="381"/>
      <c r="I86" s="81" t="str">
        <f>Просчёт!$J151</f>
        <v>шт.</v>
      </c>
      <c r="J86" s="146">
        <f>ROUND(Просчёт!$K151,3)</f>
        <v>0</v>
      </c>
      <c r="K86" s="95">
        <f>Просчёт!$M151</f>
        <v>315</v>
      </c>
      <c r="L86" s="96">
        <f>Просчёт!$N151</f>
        <v>0</v>
      </c>
    </row>
    <row r="87" spans="2:12" x14ac:dyDescent="0.2">
      <c r="B87" s="81">
        <f>SUBTOTAL(103,$C$21:$C87)</f>
        <v>67</v>
      </c>
      <c r="C87" s="381" t="str">
        <f>Просчёт!$B152</f>
        <v>Ручка 45 град</v>
      </c>
      <c r="D87" s="381"/>
      <c r="E87" s="381"/>
      <c r="F87" s="381"/>
      <c r="G87" s="381"/>
      <c r="H87" s="381"/>
      <c r="I87" s="81" t="str">
        <f>Просчёт!$J152</f>
        <v>м.п.</v>
      </c>
      <c r="J87" s="146">
        <f>ROUND(Просчёт!$K152,3)</f>
        <v>0</v>
      </c>
      <c r="K87" s="95">
        <f>Просчёт!$M152</f>
        <v>315</v>
      </c>
      <c r="L87" s="96">
        <f>Просчёт!$N152</f>
        <v>0</v>
      </c>
    </row>
    <row r="88" spans="2:12" x14ac:dyDescent="0.2">
      <c r="B88" s="81">
        <f>SUBTOTAL(103,$C$21:$C88)</f>
        <v>68</v>
      </c>
      <c r="C88" s="381" t="str">
        <f>Просчёт!$B153</f>
        <v>Ручка тип "J" радіусний фасад</v>
      </c>
      <c r="D88" s="381"/>
      <c r="E88" s="381"/>
      <c r="F88" s="381"/>
      <c r="G88" s="381"/>
      <c r="H88" s="381"/>
      <c r="I88" s="81" t="str">
        <f>Просчёт!$J153</f>
        <v>шт.</v>
      </c>
      <c r="J88" s="146">
        <f>ROUND(Просчёт!$K153,3)</f>
        <v>0</v>
      </c>
      <c r="K88" s="95">
        <f>Просчёт!$M153</f>
        <v>500</v>
      </c>
      <c r="L88" s="96">
        <f>Просчёт!$N153</f>
        <v>0</v>
      </c>
    </row>
    <row r="89" spans="2:12" x14ac:dyDescent="0.2">
      <c r="B89" s="81">
        <f>SUBTOTAL(103,$C$21:$C89)</f>
        <v>69</v>
      </c>
      <c r="C89" s="381" t="str">
        <f>Просчёт!$B154</f>
        <v>Отвір під петлю (35 мм)</v>
      </c>
      <c r="D89" s="381"/>
      <c r="E89" s="381"/>
      <c r="F89" s="381"/>
      <c r="G89" s="381"/>
      <c r="H89" s="381"/>
      <c r="I89" s="81" t="str">
        <f>Просчёт!$J154</f>
        <v>шт.</v>
      </c>
      <c r="J89" s="146">
        <f>ROUND(Просчёт!$K154,3)</f>
        <v>0</v>
      </c>
      <c r="K89" s="95">
        <f>Просчёт!$M154</f>
        <v>25</v>
      </c>
      <c r="L89" s="96">
        <f>Просчёт!$N154</f>
        <v>0</v>
      </c>
    </row>
    <row r="90" spans="2:12" x14ac:dyDescent="0.2">
      <c r="B90" s="81">
        <f>SUBTOTAL(103,$C$21:$C90)</f>
        <v>70</v>
      </c>
      <c r="C90" s="381" t="str">
        <f>Просчёт!$B155</f>
        <v>Виготовлення зразка на вимогу замовника 200х150 мм</v>
      </c>
      <c r="D90" s="381"/>
      <c r="E90" s="381"/>
      <c r="F90" s="381"/>
      <c r="G90" s="381"/>
      <c r="H90" s="381"/>
      <c r="I90" s="81" t="str">
        <f>Просчёт!$J155</f>
        <v>шт.</v>
      </c>
      <c r="J90" s="146">
        <f>ROUND(Просчёт!$K155,3)</f>
        <v>0</v>
      </c>
      <c r="K90" s="95">
        <f>Просчёт!$M155</f>
        <v>0</v>
      </c>
      <c r="L90" s="96">
        <f>Просчёт!$N155</f>
        <v>0</v>
      </c>
    </row>
    <row r="91" spans="2:12" x14ac:dyDescent="0.2">
      <c r="B91" s="81">
        <f>SUBTOTAL(103,$C$21:$C91)</f>
        <v>71</v>
      </c>
      <c r="C91" s="381" t="str">
        <f>Просчёт!$B156</f>
        <v>Склейка</v>
      </c>
      <c r="D91" s="381"/>
      <c r="E91" s="381"/>
      <c r="F91" s="381"/>
      <c r="G91" s="381"/>
      <c r="H91" s="381"/>
      <c r="I91" s="81" t="str">
        <f>Просчёт!$J156</f>
        <v>м²</v>
      </c>
      <c r="J91" s="146">
        <f>ROUND(Просчёт!$K156,3)</f>
        <v>0</v>
      </c>
      <c r="K91" s="95">
        <f>Просчёт!$M156</f>
        <v>0</v>
      </c>
      <c r="L91" s="96">
        <f>Просчёт!$N156</f>
        <v>0</v>
      </c>
    </row>
    <row r="92" spans="2:12" x14ac:dyDescent="0.2">
      <c r="B92" s="81">
        <f>SUBTOTAL(103,$C$21:$C92)</f>
        <v>72</v>
      </c>
      <c r="C92" s="381" t="str">
        <f>Просчёт!$B157</f>
        <v>Підбір текстури шпону</v>
      </c>
      <c r="D92" s="381"/>
      <c r="E92" s="381"/>
      <c r="F92" s="381"/>
      <c r="G92" s="381"/>
      <c r="H92" s="381"/>
      <c r="I92" s="81" t="str">
        <f>Просчёт!$J157</f>
        <v>шт.</v>
      </c>
      <c r="J92" s="146">
        <f>ROUND(Просчёт!$K157,3)</f>
        <v>0</v>
      </c>
      <c r="K92" s="95">
        <f>Просчёт!$M157</f>
        <v>0</v>
      </c>
      <c r="L92" s="96">
        <f>Просчёт!$N157</f>
        <v>0</v>
      </c>
    </row>
    <row r="93" spans="2:12" x14ac:dyDescent="0.2">
      <c r="B93" s="81">
        <f>SUBTOTAL(103,$C$21:$C93)</f>
        <v>73</v>
      </c>
      <c r="C93" s="381" t="str">
        <f>Просчёт!$B158</f>
        <v>Криволінійна порізка, твощина 19 мм</v>
      </c>
      <c r="D93" s="381"/>
      <c r="E93" s="381"/>
      <c r="F93" s="381"/>
      <c r="G93" s="381"/>
      <c r="H93" s="381"/>
      <c r="I93" s="81" t="str">
        <f>Просчёт!$J158</f>
        <v>м.п.</v>
      </c>
      <c r="J93" s="146">
        <f>ROUND(Просчёт!$K158,3)</f>
        <v>0</v>
      </c>
      <c r="K93" s="95">
        <f>Просчёт!$M158</f>
        <v>0</v>
      </c>
      <c r="L93" s="96">
        <f>Просчёт!$N158</f>
        <v>0</v>
      </c>
    </row>
    <row r="94" spans="2:12" x14ac:dyDescent="0.2">
      <c r="B94" s="81">
        <f>SUBTOTAL(103,$C$21:$C94)</f>
        <v>74</v>
      </c>
      <c r="C94" s="381" t="str">
        <f>Просчёт!$B159</f>
        <v>Фарбування ручки J в інший колір</v>
      </c>
      <c r="D94" s="381"/>
      <c r="E94" s="381"/>
      <c r="F94" s="381"/>
      <c r="G94" s="381"/>
      <c r="H94" s="381"/>
      <c r="I94" s="81" t="str">
        <f>Просчёт!$J159</f>
        <v>м.п.</v>
      </c>
      <c r="J94" s="146">
        <f>ROUND(Просчёт!$K159,3)</f>
        <v>0</v>
      </c>
      <c r="K94" s="95">
        <f>Просчёт!$M159</f>
        <v>0</v>
      </c>
      <c r="L94" s="96">
        <f>Просчёт!$N159</f>
        <v>0</v>
      </c>
    </row>
    <row r="95" spans="2:12" x14ac:dyDescent="0.2">
      <c r="B95" s="81">
        <f>SUBTOTAL(103,$C$21:$C95)</f>
        <v>75</v>
      </c>
      <c r="C95" s="381">
        <f>Просчёт!$B160</f>
        <v>0</v>
      </c>
      <c r="D95" s="381"/>
      <c r="E95" s="381"/>
      <c r="F95" s="381"/>
      <c r="G95" s="381"/>
      <c r="H95" s="381"/>
      <c r="I95" s="81">
        <f>Просчёт!$J160</f>
        <v>0</v>
      </c>
      <c r="J95" s="146">
        <f>ROUND(Просчёт!$K160,3)</f>
        <v>0</v>
      </c>
      <c r="K95" s="95">
        <f>Просчёт!$M160</f>
        <v>0</v>
      </c>
      <c r="L95" s="96">
        <f>Просчёт!$N160</f>
        <v>0</v>
      </c>
    </row>
    <row r="96" spans="2:12" x14ac:dyDescent="0.2">
      <c r="B96" s="81">
        <f>SUBTOTAL(103,$C$21:$C96)</f>
        <v>76</v>
      </c>
      <c r="C96" s="381">
        <f>Просчёт!$B161</f>
        <v>0</v>
      </c>
      <c r="D96" s="381"/>
      <c r="E96" s="381"/>
      <c r="F96" s="381"/>
      <c r="G96" s="381"/>
      <c r="H96" s="381"/>
      <c r="I96" s="81">
        <f>Просчёт!$J161</f>
        <v>0</v>
      </c>
      <c r="J96" s="146">
        <f>ROUND(Просчёт!$K161,3)</f>
        <v>0</v>
      </c>
      <c r="K96" s="95">
        <f>Просчёт!$M161</f>
        <v>0</v>
      </c>
      <c r="L96" s="96">
        <f>Просчёт!$N161</f>
        <v>0</v>
      </c>
    </row>
    <row r="97" spans="2:12" x14ac:dyDescent="0.2">
      <c r="B97" s="81">
        <f>SUBTOTAL(103,$C$21:$C97)</f>
        <v>77</v>
      </c>
      <c r="C97" s="381">
        <f>Просчёт!$B162</f>
        <v>0</v>
      </c>
      <c r="D97" s="381"/>
      <c r="E97" s="381"/>
      <c r="F97" s="381"/>
      <c r="G97" s="381"/>
      <c r="H97" s="381"/>
      <c r="I97" s="81">
        <f>Просчёт!$J162</f>
        <v>0</v>
      </c>
      <c r="J97" s="146">
        <f>ROUND(Просчёт!$K162,3)</f>
        <v>0</v>
      </c>
      <c r="K97" s="95">
        <f>Просчёт!$M162</f>
        <v>0</v>
      </c>
      <c r="L97" s="96">
        <f>Просчёт!$N162</f>
        <v>0</v>
      </c>
    </row>
    <row r="98" spans="2:12" x14ac:dyDescent="0.2">
      <c r="B98" s="81">
        <f>SUBTOTAL(103,$C$21:$C98)</f>
        <v>78</v>
      </c>
      <c r="C98" s="381">
        <f>Просчёт!$B163</f>
        <v>0</v>
      </c>
      <c r="D98" s="381"/>
      <c r="E98" s="381"/>
      <c r="F98" s="381"/>
      <c r="G98" s="381"/>
      <c r="H98" s="381"/>
      <c r="I98" s="81">
        <f>Просчёт!$J163</f>
        <v>0</v>
      </c>
      <c r="J98" s="146">
        <f>ROUND(Просчёт!$K163,3)</f>
        <v>0</v>
      </c>
      <c r="K98" s="95">
        <f>Просчёт!$M163</f>
        <v>0</v>
      </c>
      <c r="L98" s="96">
        <f>Просчёт!$N163</f>
        <v>0</v>
      </c>
    </row>
    <row r="99" spans="2:12" x14ac:dyDescent="0.2">
      <c r="B99" s="147"/>
      <c r="C99" s="147"/>
      <c r="D99" s="147"/>
      <c r="E99" s="147"/>
      <c r="F99" s="147"/>
      <c r="G99" s="147"/>
      <c r="H99" s="147"/>
      <c r="I99" s="147"/>
      <c r="J99" s="147"/>
      <c r="K99" s="147"/>
      <c r="L99" s="147"/>
    </row>
    <row r="100" spans="2:12" x14ac:dyDescent="0.2">
      <c r="B100" s="147"/>
      <c r="C100" s="147"/>
      <c r="D100" s="147"/>
      <c r="E100" s="147"/>
      <c r="F100" s="147"/>
      <c r="G100" s="147"/>
      <c r="H100" s="147"/>
      <c r="I100" s="147"/>
      <c r="J100" s="147"/>
      <c r="K100" s="156" t="s">
        <v>132</v>
      </c>
      <c r="L100" s="157">
        <f>SUM(L21:L98)</f>
        <v>0</v>
      </c>
    </row>
    <row r="101" spans="2:12" x14ac:dyDescent="0.2">
      <c r="B101" s="147"/>
      <c r="C101" s="147"/>
      <c r="D101" s="147"/>
      <c r="E101" s="147"/>
      <c r="F101" s="147"/>
      <c r="G101" s="147"/>
      <c r="H101" s="147"/>
      <c r="I101" s="147"/>
      <c r="J101" s="147"/>
      <c r="K101" s="156" t="s">
        <v>131</v>
      </c>
      <c r="L101" s="304"/>
    </row>
    <row r="102" spans="2:12" x14ac:dyDescent="0.2">
      <c r="B102" s="147"/>
      <c r="C102" s="147"/>
      <c r="D102" s="147"/>
      <c r="E102" s="147"/>
      <c r="F102" s="147"/>
      <c r="G102" s="147"/>
      <c r="H102" s="147"/>
      <c r="I102" s="147"/>
      <c r="J102" s="147"/>
      <c r="K102" s="158" t="s">
        <v>133</v>
      </c>
      <c r="L102" s="157">
        <f>L100-(L100*L101/100)</f>
        <v>0</v>
      </c>
    </row>
    <row r="103" spans="2:12" x14ac:dyDescent="0.2">
      <c r="B103" s="147"/>
      <c r="C103" s="147"/>
      <c r="D103" s="147"/>
      <c r="E103" s="147"/>
      <c r="F103" s="147"/>
      <c r="G103" s="147"/>
      <c r="H103" s="147"/>
      <c r="I103" s="147"/>
      <c r="J103" s="147"/>
      <c r="K103" s="156"/>
      <c r="L103" s="157"/>
    </row>
    <row r="104" spans="2:12" x14ac:dyDescent="0.2">
      <c r="B104" s="147"/>
      <c r="C104" s="147"/>
      <c r="D104" s="147"/>
      <c r="E104" s="147"/>
      <c r="F104" s="147"/>
      <c r="G104" s="147"/>
      <c r="H104" s="147"/>
      <c r="I104" s="147"/>
      <c r="J104" s="147"/>
      <c r="K104" s="156"/>
      <c r="L104" s="157"/>
    </row>
    <row r="105" spans="2:12" x14ac:dyDescent="0.2">
      <c r="B105" s="147"/>
      <c r="C105" s="147"/>
      <c r="D105" s="147"/>
      <c r="E105" s="147"/>
      <c r="F105" s="147"/>
      <c r="G105" s="147"/>
      <c r="H105" s="147"/>
      <c r="I105" s="147"/>
      <c r="J105" s="147"/>
      <c r="K105" s="158" t="s">
        <v>134</v>
      </c>
      <c r="L105" s="304"/>
    </row>
    <row r="106" spans="2:12" x14ac:dyDescent="0.2">
      <c r="B106" s="147"/>
      <c r="C106" s="147"/>
      <c r="D106" s="147"/>
      <c r="E106" s="147"/>
      <c r="F106" s="147"/>
      <c r="G106" s="147"/>
      <c r="H106" s="147"/>
      <c r="I106" s="147"/>
      <c r="J106" s="147"/>
      <c r="K106" s="156"/>
      <c r="L106" s="304"/>
    </row>
    <row r="107" spans="2:12" x14ac:dyDescent="0.2">
      <c r="B107" s="147"/>
      <c r="C107" s="147"/>
      <c r="D107" s="147"/>
      <c r="E107" s="147"/>
      <c r="F107" s="147"/>
      <c r="G107" s="147"/>
      <c r="H107" s="147"/>
      <c r="I107" s="147"/>
      <c r="J107" s="147"/>
      <c r="K107" s="156" t="s">
        <v>135</v>
      </c>
      <c r="L107" s="304">
        <f>L102-L105</f>
        <v>0</v>
      </c>
    </row>
    <row r="108" spans="2:12" x14ac:dyDescent="0.2">
      <c r="B108" s="147"/>
      <c r="C108" s="147"/>
      <c r="D108" s="147"/>
      <c r="E108" s="147"/>
      <c r="F108" s="147"/>
      <c r="G108" s="147"/>
      <c r="H108" s="147"/>
      <c r="I108" s="147"/>
      <c r="J108" s="147"/>
      <c r="K108" s="147"/>
      <c r="L108" s="147"/>
    </row>
  </sheetData>
  <sheetProtection algorithmName="SHA-512" hashValue="pTN0VRnB2kKMVny/oywHBx/oX9rsyQo6YtomzdQCsrjVzsv0sSnOOfRn6pEEAP8A2uYMQByMz5ANdpWqoWUj7g==" saltValue="ElVb7o0dyIjYKL28DHP3+Q==" spinCount="100000" sheet="1" objects="1" scenarios="1" formatCells="0" formatColumns="0" formatRows="0" autoFilter="0"/>
  <autoFilter ref="L20:L98" xr:uid="{00000000-0009-0000-0000-000003000000}"/>
  <mergeCells count="82">
    <mergeCell ref="B9:L9"/>
    <mergeCell ref="C36:H36"/>
    <mergeCell ref="C37:H37"/>
    <mergeCell ref="C38:H38"/>
    <mergeCell ref="C39:H39"/>
    <mergeCell ref="C40:H40"/>
    <mergeCell ref="C29:H29"/>
    <mergeCell ref="B12:C12"/>
    <mergeCell ref="D12:E12"/>
    <mergeCell ref="C20:H20"/>
    <mergeCell ref="C21:H21"/>
    <mergeCell ref="C22:H22"/>
    <mergeCell ref="C23:H23"/>
    <mergeCell ref="C24:H24"/>
    <mergeCell ref="C25:H25"/>
    <mergeCell ref="C26:H26"/>
    <mergeCell ref="C51:H51"/>
    <mergeCell ref="C52:H52"/>
    <mergeCell ref="C30:H30"/>
    <mergeCell ref="C31:H31"/>
    <mergeCell ref="C32:H32"/>
    <mergeCell ref="C33:H33"/>
    <mergeCell ref="C34:H34"/>
    <mergeCell ref="C35:H35"/>
    <mergeCell ref="C45:H45"/>
    <mergeCell ref="C46:H46"/>
    <mergeCell ref="C47:H47"/>
    <mergeCell ref="C48:H48"/>
    <mergeCell ref="C41:H41"/>
    <mergeCell ref="C42:H42"/>
    <mergeCell ref="C43:H43"/>
    <mergeCell ref="C44:H44"/>
    <mergeCell ref="C69:H69"/>
    <mergeCell ref="C68:H68"/>
    <mergeCell ref="C27:H27"/>
    <mergeCell ref="C28:H28"/>
    <mergeCell ref="C58:H58"/>
    <mergeCell ref="C59:H59"/>
    <mergeCell ref="C60:H60"/>
    <mergeCell ref="C61:H61"/>
    <mergeCell ref="C65:H65"/>
    <mergeCell ref="C53:H53"/>
    <mergeCell ref="C54:H54"/>
    <mergeCell ref="C55:H55"/>
    <mergeCell ref="C56:H56"/>
    <mergeCell ref="C57:H57"/>
    <mergeCell ref="C49:H49"/>
    <mergeCell ref="C50:H50"/>
    <mergeCell ref="C66:H66"/>
    <mergeCell ref="C67:H67"/>
    <mergeCell ref="C62:H62"/>
    <mergeCell ref="C63:H63"/>
    <mergeCell ref="C64:H64"/>
    <mergeCell ref="C70:H70"/>
    <mergeCell ref="C71:H71"/>
    <mergeCell ref="C72:H72"/>
    <mergeCell ref="C73:H73"/>
    <mergeCell ref="C74:H74"/>
    <mergeCell ref="C75:H75"/>
    <mergeCell ref="C76:H76"/>
    <mergeCell ref="C77:H77"/>
    <mergeCell ref="C78:H78"/>
    <mergeCell ref="C79:H79"/>
    <mergeCell ref="C80:H80"/>
    <mergeCell ref="C81:H81"/>
    <mergeCell ref="C82:H82"/>
    <mergeCell ref="C83:H83"/>
    <mergeCell ref="C84:H84"/>
    <mergeCell ref="C98:H98"/>
    <mergeCell ref="C85:H85"/>
    <mergeCell ref="C86:H86"/>
    <mergeCell ref="C87:H87"/>
    <mergeCell ref="C88:H88"/>
    <mergeCell ref="C89:H89"/>
    <mergeCell ref="C90:H90"/>
    <mergeCell ref="C91:H91"/>
    <mergeCell ref="C92:H92"/>
    <mergeCell ref="C93:H93"/>
    <mergeCell ref="C94:H94"/>
    <mergeCell ref="C95:H95"/>
    <mergeCell ref="C96:H96"/>
    <mergeCell ref="C97:H97"/>
  </mergeCells>
  <hyperlinks>
    <hyperlink ref="L6" r:id="rId1" xr:uid="{00000000-0004-0000-0300-000000000000}"/>
  </hyperlinks>
  <pageMargins left="0.7" right="0.7" top="0.75" bottom="0.75" header="0.3" footer="0.3"/>
  <pageSetup paperSize="9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H24"/>
  <sheetViews>
    <sheetView workbookViewId="0">
      <selection activeCell="B5" sqref="B5:E24"/>
    </sheetView>
  </sheetViews>
  <sheetFormatPr defaultRowHeight="12.75" x14ac:dyDescent="0.2"/>
  <cols>
    <col min="2" max="2" width="4.28515625" customWidth="1"/>
    <col min="3" max="3" width="27" customWidth="1"/>
    <col min="4" max="5" width="11.28515625" customWidth="1"/>
  </cols>
  <sheetData>
    <row r="5" spans="2:8" ht="15" x14ac:dyDescent="0.25">
      <c r="B5" s="386" t="s">
        <v>156</v>
      </c>
      <c r="C5" s="386"/>
      <c r="D5" s="385">
        <f>Бланк!$D$10</f>
        <v>0</v>
      </c>
      <c r="E5" s="385"/>
    </row>
    <row r="6" spans="2:8" ht="15" x14ac:dyDescent="0.25">
      <c r="B6" s="82"/>
      <c r="C6" s="82"/>
      <c r="D6" s="83"/>
      <c r="E6" s="83"/>
    </row>
    <row r="7" spans="2:8" ht="15" x14ac:dyDescent="0.25">
      <c r="B7" s="82"/>
      <c r="C7" s="78" t="s">
        <v>136</v>
      </c>
      <c r="D7" s="79">
        <f>Бланк!$AC$10</f>
        <v>0</v>
      </c>
      <c r="E7" s="83"/>
    </row>
    <row r="8" spans="2:8" ht="15" x14ac:dyDescent="0.25">
      <c r="B8" s="82"/>
      <c r="C8" s="78" t="s">
        <v>137</v>
      </c>
      <c r="D8">
        <f>Бланк!$AC$11</f>
        <v>0</v>
      </c>
      <c r="E8" s="83"/>
    </row>
    <row r="9" spans="2:8" ht="15" x14ac:dyDescent="0.25">
      <c r="B9" s="82"/>
      <c r="C9" s="82"/>
      <c r="D9" s="83"/>
      <c r="E9" s="83"/>
    </row>
    <row r="10" spans="2:8" ht="15" x14ac:dyDescent="0.25">
      <c r="B10" s="82"/>
      <c r="C10" s="82"/>
      <c r="D10" s="83"/>
      <c r="E10" s="83"/>
    </row>
    <row r="12" spans="2:8" ht="28.5" customHeight="1" x14ac:dyDescent="0.2">
      <c r="B12" s="68" t="s">
        <v>3</v>
      </c>
      <c r="C12" s="84" t="s">
        <v>128</v>
      </c>
      <c r="D12" s="81" t="s">
        <v>75</v>
      </c>
      <c r="E12" s="81" t="s">
        <v>123</v>
      </c>
      <c r="F12" s="22"/>
      <c r="G12" s="22"/>
      <c r="H12" s="22"/>
    </row>
    <row r="13" spans="2:8" x14ac:dyDescent="0.2">
      <c r="B13" s="80">
        <v>1</v>
      </c>
      <c r="C13" s="80" t="s">
        <v>149</v>
      </c>
      <c r="D13" s="80" t="s">
        <v>155</v>
      </c>
      <c r="E13" s="85">
        <f>SUMIF(Бланк!$F$22:$F$65,4,Бланк!$AI$21:$AI$65)</f>
        <v>0</v>
      </c>
    </row>
    <row r="14" spans="2:8" x14ac:dyDescent="0.2">
      <c r="B14" s="80">
        <v>2</v>
      </c>
      <c r="C14" s="80" t="s">
        <v>150</v>
      </c>
      <c r="D14" s="80" t="s">
        <v>155</v>
      </c>
      <c r="E14" s="85">
        <f>SUMIF(Бланк!$F$22:$F$65,6,Бланк!$AI$21:$AI$65)</f>
        <v>0</v>
      </c>
    </row>
    <row r="15" spans="2:8" x14ac:dyDescent="0.2">
      <c r="B15" s="80">
        <v>3</v>
      </c>
      <c r="C15" s="80" t="s">
        <v>151</v>
      </c>
      <c r="D15" s="80" t="s">
        <v>155</v>
      </c>
      <c r="E15" s="85">
        <f>SUMIF(Бланк!$F$22:$F$65,8,Бланк!$AI$21:$AI$65)</f>
        <v>0</v>
      </c>
    </row>
    <row r="16" spans="2:8" x14ac:dyDescent="0.2">
      <c r="B16" s="80">
        <v>4</v>
      </c>
      <c r="C16" s="80" t="s">
        <v>152</v>
      </c>
      <c r="D16" s="80" t="s">
        <v>155</v>
      </c>
      <c r="E16" s="85">
        <f>SUMIF(Бланк!$F$22:$F$65,10,Бланк!$AI$21:$AI$65)</f>
        <v>0</v>
      </c>
    </row>
    <row r="17" spans="2:5" x14ac:dyDescent="0.2">
      <c r="B17" s="80">
        <v>5</v>
      </c>
      <c r="C17" s="80" t="s">
        <v>153</v>
      </c>
      <c r="D17" s="80" t="s">
        <v>155</v>
      </c>
      <c r="E17" s="85">
        <f>SUMIF(Бланк!$F$22:$F$65,16,Бланк!$AI$21:$AI$65)</f>
        <v>0</v>
      </c>
    </row>
    <row r="18" spans="2:5" x14ac:dyDescent="0.2">
      <c r="B18" s="80">
        <v>6</v>
      </c>
      <c r="C18" s="80" t="s">
        <v>154</v>
      </c>
      <c r="D18" s="80" t="s">
        <v>155</v>
      </c>
      <c r="E18" s="85">
        <f>SUMIF(Бланк!$F$22:$F$65,19,Бланк!$AI$21:$AI$65)</f>
        <v>0</v>
      </c>
    </row>
    <row r="19" spans="2:5" x14ac:dyDescent="0.2">
      <c r="B19" s="80"/>
      <c r="C19" s="80"/>
      <c r="D19" s="80"/>
      <c r="E19" s="80"/>
    </row>
    <row r="20" spans="2:5" x14ac:dyDescent="0.2">
      <c r="B20" s="80"/>
      <c r="C20" s="80"/>
      <c r="D20" s="80"/>
      <c r="E20" s="80"/>
    </row>
    <row r="21" spans="2:5" x14ac:dyDescent="0.2">
      <c r="B21" s="80"/>
      <c r="C21" s="80"/>
      <c r="D21" s="80"/>
      <c r="E21" s="80"/>
    </row>
    <row r="22" spans="2:5" x14ac:dyDescent="0.2">
      <c r="B22" s="80"/>
      <c r="C22" s="80"/>
      <c r="D22" s="80"/>
      <c r="E22" s="80"/>
    </row>
    <row r="23" spans="2:5" x14ac:dyDescent="0.2">
      <c r="B23" s="80"/>
      <c r="C23" s="80"/>
      <c r="D23" s="80"/>
      <c r="E23" s="80"/>
    </row>
    <row r="24" spans="2:5" x14ac:dyDescent="0.2">
      <c r="E24" s="86">
        <f>SUM(E13:E23)</f>
        <v>0</v>
      </c>
    </row>
  </sheetData>
  <sheetProtection algorithmName="SHA-512" hashValue="izkKANdPI6QOTXEiF6B8UqiZTt1Widiwpj/v0ccXXUKd0ndRcrpUMwA2zZMLCuR4EA4BcduVCDWYiFSAniJPeg==" saltValue="mu8Pm85lLyJmNykVorwT2Q==" spinCount="100000" sheet="1" objects="1" scenarios="1"/>
  <mergeCells count="2">
    <mergeCell ref="B5:C5"/>
    <mergeCell ref="D5:E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5:F80"/>
  <sheetViews>
    <sheetView workbookViewId="0">
      <selection activeCell="E13" sqref="E13"/>
    </sheetView>
  </sheetViews>
  <sheetFormatPr defaultRowHeight="12.75" x14ac:dyDescent="0.2"/>
  <cols>
    <col min="2" max="2" width="3.5703125" customWidth="1"/>
    <col min="3" max="3" width="21.85546875" customWidth="1"/>
    <col min="4" max="4" width="12.7109375" customWidth="1"/>
    <col min="5" max="5" width="10.28515625" customWidth="1"/>
    <col min="6" max="6" width="5.85546875" bestFit="1" customWidth="1"/>
  </cols>
  <sheetData>
    <row r="5" spans="2:6" ht="15" x14ac:dyDescent="0.25">
      <c r="B5" s="386" t="s">
        <v>157</v>
      </c>
      <c r="C5" s="386"/>
      <c r="D5" s="82"/>
      <c r="E5" s="385">
        <f>Бланк!$D$10</f>
        <v>0</v>
      </c>
      <c r="F5" s="385"/>
    </row>
    <row r="6" spans="2:6" ht="15" x14ac:dyDescent="0.25">
      <c r="B6" s="82"/>
      <c r="C6" s="82"/>
      <c r="D6" s="82"/>
      <c r="E6" s="83"/>
      <c r="F6" s="83"/>
    </row>
    <row r="7" spans="2:6" ht="15" x14ac:dyDescent="0.25">
      <c r="B7" s="82"/>
      <c r="C7" s="78" t="s">
        <v>136</v>
      </c>
      <c r="D7" s="78"/>
      <c r="E7" s="79">
        <f>Бланк!$AC$10</f>
        <v>0</v>
      </c>
      <c r="F7" s="83"/>
    </row>
    <row r="8" spans="2:6" ht="15" x14ac:dyDescent="0.25">
      <c r="B8" s="82"/>
      <c r="C8" s="78" t="s">
        <v>137</v>
      </c>
      <c r="D8" s="78"/>
      <c r="E8">
        <f>Бланк!$AC$11</f>
        <v>0</v>
      </c>
      <c r="F8" s="83"/>
    </row>
    <row r="9" spans="2:6" ht="15" x14ac:dyDescent="0.25">
      <c r="B9" s="82"/>
      <c r="C9" s="82"/>
      <c r="D9" s="82"/>
      <c r="E9" s="83"/>
      <c r="F9" s="83"/>
    </row>
    <row r="10" spans="2:6" ht="30" x14ac:dyDescent="0.25">
      <c r="B10" s="82"/>
      <c r="C10" s="88" t="s">
        <v>158</v>
      </c>
      <c r="D10" s="88">
        <v>0.3</v>
      </c>
      <c r="E10" s="83"/>
      <c r="F10" s="83"/>
    </row>
    <row r="12" spans="2:6" ht="25.5" x14ac:dyDescent="0.2">
      <c r="B12" s="68" t="s">
        <v>3</v>
      </c>
      <c r="C12" s="87" t="s">
        <v>54</v>
      </c>
      <c r="D12" s="81" t="s">
        <v>75</v>
      </c>
      <c r="E12" s="81" t="s">
        <v>123</v>
      </c>
    </row>
    <row r="13" spans="2:6" ht="14.25" x14ac:dyDescent="0.2">
      <c r="B13" s="80">
        <v>1</v>
      </c>
      <c r="C13" s="80" t="str">
        <f t="array" ref="C13">IFERROR(INDEX(Цвет, MATCH(0,COUNTIF($C$12:C12,Цвет),0)),"")</f>
        <v/>
      </c>
      <c r="D13" s="80" t="s">
        <v>159</v>
      </c>
      <c r="E13" s="91">
        <f t="shared" ref="E13:E21" si="0">SUMIF(Цвет,C13,Объем)</f>
        <v>0</v>
      </c>
    </row>
    <row r="14" spans="2:6" ht="14.25" x14ac:dyDescent="0.2">
      <c r="B14" s="80">
        <v>2</v>
      </c>
      <c r="C14" s="80" t="str">
        <f t="array" ref="C14">IFERROR(INDEX(Цвет, MATCH(0,COUNTIF($C$12:C13,Цвет),0)),"")</f>
        <v/>
      </c>
      <c r="D14" s="80" t="s">
        <v>159</v>
      </c>
      <c r="E14" s="91">
        <f t="shared" si="0"/>
        <v>0</v>
      </c>
    </row>
    <row r="15" spans="2:6" ht="14.25" x14ac:dyDescent="0.2">
      <c r="B15" s="80">
        <v>3</v>
      </c>
      <c r="C15" s="80" t="str">
        <f t="array" ref="C15">IFERROR(INDEX(Цвет, MATCH(0,COUNTIF($C$12:C14,Цвет),0)),"")</f>
        <v/>
      </c>
      <c r="D15" s="80" t="s">
        <v>159</v>
      </c>
      <c r="E15" s="91">
        <f t="shared" si="0"/>
        <v>0</v>
      </c>
    </row>
    <row r="16" spans="2:6" ht="14.25" x14ac:dyDescent="0.2">
      <c r="B16" s="80">
        <v>4</v>
      </c>
      <c r="C16" s="80" t="str">
        <f t="array" ref="C16">IFERROR(INDEX(Цвет, MATCH(0,COUNTIF($C$12:C15,Цвет),0)),"")</f>
        <v/>
      </c>
      <c r="D16" s="80" t="s">
        <v>159</v>
      </c>
      <c r="E16" s="91">
        <f t="shared" si="0"/>
        <v>0</v>
      </c>
    </row>
    <row r="17" spans="2:5" ht="14.25" x14ac:dyDescent="0.2">
      <c r="B17" s="80">
        <v>5</v>
      </c>
      <c r="C17" s="80" t="str">
        <f t="array" ref="C17">IFERROR(INDEX(Цвет, MATCH(0,COUNTIF($C$12:C16,Цвет),0)),"")</f>
        <v/>
      </c>
      <c r="D17" s="80" t="s">
        <v>159</v>
      </c>
      <c r="E17" s="91">
        <f t="shared" si="0"/>
        <v>0</v>
      </c>
    </row>
    <row r="18" spans="2:5" ht="14.25" x14ac:dyDescent="0.2">
      <c r="B18" s="80">
        <v>6</v>
      </c>
      <c r="C18" s="80" t="str">
        <f t="array" ref="C18">IFERROR(INDEX(Цвет, MATCH(0,COUNTIF($C$12:C17,Цвет),0)),"")</f>
        <v/>
      </c>
      <c r="D18" s="80" t="s">
        <v>159</v>
      </c>
      <c r="E18" s="91">
        <f t="shared" si="0"/>
        <v>0</v>
      </c>
    </row>
    <row r="19" spans="2:5" ht="14.25" x14ac:dyDescent="0.2">
      <c r="B19" s="80">
        <v>7</v>
      </c>
      <c r="C19" s="80" t="str">
        <f t="array" ref="C19">IFERROR(INDEX(Цвет, MATCH(0,COUNTIF($C$12:C18,Цвет),0)),"")</f>
        <v/>
      </c>
      <c r="D19" s="80" t="s">
        <v>159</v>
      </c>
      <c r="E19" s="91">
        <f t="shared" si="0"/>
        <v>0</v>
      </c>
    </row>
    <row r="20" spans="2:5" ht="14.25" x14ac:dyDescent="0.2">
      <c r="B20" s="80">
        <v>8</v>
      </c>
      <c r="C20" s="80" t="str">
        <f t="array" ref="C20">IFERROR(INDEX(Цвет, MATCH(0,COUNTIF($C$12:C19,Цвет),0)),"")</f>
        <v/>
      </c>
      <c r="D20" s="80" t="s">
        <v>159</v>
      </c>
      <c r="E20" s="91">
        <f t="shared" si="0"/>
        <v>0</v>
      </c>
    </row>
    <row r="21" spans="2:5" ht="15" thickBot="1" x14ac:dyDescent="0.25">
      <c r="B21" s="80">
        <v>9</v>
      </c>
      <c r="C21" s="80" t="str">
        <f t="array" ref="C21">IFERROR(INDEX(Цвет, MATCH(0,COUNTIF($C$12:C20,Цвет),0)),"")</f>
        <v/>
      </c>
      <c r="D21" s="89" t="s">
        <v>159</v>
      </c>
      <c r="E21" s="91">
        <f t="shared" si="0"/>
        <v>0</v>
      </c>
    </row>
    <row r="22" spans="2:5" ht="15" thickBot="1" x14ac:dyDescent="0.25">
      <c r="D22" s="90" t="s">
        <v>160</v>
      </c>
      <c r="E22" s="92">
        <f>SUM(E13:E21)</f>
        <v>0</v>
      </c>
    </row>
    <row r="34" spans="2:6" ht="25.5" hidden="1" x14ac:dyDescent="0.2">
      <c r="B34" s="68" t="s">
        <v>3</v>
      </c>
      <c r="C34" s="87" t="s">
        <v>54</v>
      </c>
      <c r="D34" s="45" t="s">
        <v>55</v>
      </c>
      <c r="E34" s="81" t="s">
        <v>75</v>
      </c>
      <c r="F34" s="81" t="s">
        <v>123</v>
      </c>
    </row>
    <row r="35" spans="2:6" hidden="1" x14ac:dyDescent="0.2">
      <c r="B35" s="80">
        <v>1</v>
      </c>
      <c r="C35" s="80" t="str">
        <f>IF(Бланк!$R21="","",IF(Бланк!$R21="RAL",CONCATENATE("RAL",Бланк!$S21),IF(Бланк!$R21="NCS",CONCATENATE("NCS",Бланк!$S21),IF(Бланк!$R21="Mobihel",CONCATENATE("Mobihel",Бланк!$S21),IF(Бланк!$R21="Unicolor",CONCATENATE("Unicolor",Бланк!$S21),IF(Бланк!$R21="Autocolor",CONCATENATE("autocolor",Бланк!$S21),IF(Бланк!$R21="Білий базовий","RAL9003","")))))))</f>
        <v/>
      </c>
      <c r="D35" s="80" t="str">
        <f>IF(Бланк!$T21="","",Бланк!$T21)</f>
        <v/>
      </c>
      <c r="E35" s="80" t="s">
        <v>159</v>
      </c>
      <c r="F35" s="85" t="str">
        <f>IF(OR(Бланк!$AI21="",Бланк!$AI21=0),"",Бланк!$AI21*$D$10)</f>
        <v/>
      </c>
    </row>
    <row r="36" spans="2:6" hidden="1" x14ac:dyDescent="0.2">
      <c r="B36" s="80">
        <v>2</v>
      </c>
      <c r="C36" s="80" t="str">
        <f>IF(Бланк!$R22="","",IF(Бланк!$R22="RAL",CONCATENATE("RAL",Бланк!$S22),IF(Бланк!$R22="NCS",CONCATENATE("NCS",Бланк!$S22),IF(Бланк!$R22="Mobihel",CONCATENATE("Mobihel",Бланк!$S22),IF(Бланк!$R22="Unicolor",CONCATENATE("Unicolor",Бланк!$S22),IF(Бланк!$R22="Autocolor",CONCATENATE("autocolor",Бланк!$S22),IF(Бланк!$R22="Білий базовий","RAL9003","")))))))</f>
        <v/>
      </c>
      <c r="D36" s="80" t="str">
        <f>IF(Бланк!$T22="","",Бланк!$T22)</f>
        <v/>
      </c>
      <c r="E36" s="80" t="s">
        <v>159</v>
      </c>
      <c r="F36" s="85" t="str">
        <f>IF(OR(Бланк!$AI22="",Бланк!$AI22=0),"",Бланк!$AI22*$D$10)</f>
        <v/>
      </c>
    </row>
    <row r="37" spans="2:6" hidden="1" x14ac:dyDescent="0.2">
      <c r="B37" s="80">
        <v>3</v>
      </c>
      <c r="C37" s="80" t="str">
        <f>IF(Бланк!$R23="","",IF(Бланк!$R23="RAL",CONCATENATE("RAL",Бланк!$S23),IF(Бланк!$R23="NCS",CONCATENATE("NCS",Бланк!$S23),IF(Бланк!$R23="Mobihel",CONCATENATE("Mobihel",Бланк!$S23),IF(Бланк!$R23="Unicolor",CONCATENATE("Unicolor",Бланк!$S23),IF(Бланк!$R23="Autocolor",CONCATENATE("autocolor",Бланк!$S23),IF(Бланк!$R23="Білий базовий","RAL9003","")))))))</f>
        <v/>
      </c>
      <c r="D37" s="80" t="str">
        <f>IF(Бланк!$T23="","",Бланк!$T23)</f>
        <v/>
      </c>
      <c r="E37" s="80" t="s">
        <v>159</v>
      </c>
      <c r="F37" s="85" t="str">
        <f>IF(OR(Бланк!$AI23="",Бланк!$AI23=0),"",Бланк!$AI23*$D$10)</f>
        <v/>
      </c>
    </row>
    <row r="38" spans="2:6" hidden="1" x14ac:dyDescent="0.2">
      <c r="B38" s="80">
        <v>4</v>
      </c>
      <c r="C38" s="80" t="str">
        <f>IF(Бланк!$R24="","",IF(Бланк!$R24="RAL",CONCATENATE("RAL",Бланк!$S24),IF(Бланк!$R24="NCS",CONCATENATE("NCS",Бланк!$S24),IF(Бланк!$R24="Mobihel",CONCATENATE("Mobihel",Бланк!$S24),IF(Бланк!$R24="Unicolor",CONCATENATE("Unicolor",Бланк!$S24),IF(Бланк!$R24="Autocolor",CONCATENATE("autocolor",Бланк!$S24),IF(Бланк!$R24="Білий базовий","RAL9003","")))))))</f>
        <v/>
      </c>
      <c r="D38" s="80" t="str">
        <f>IF(Бланк!$T24="","",Бланк!$T24)</f>
        <v/>
      </c>
      <c r="E38" s="80" t="s">
        <v>159</v>
      </c>
      <c r="F38" s="85" t="str">
        <f>IF(OR(Бланк!$AI24="",Бланк!$AI24=0),"",Бланк!$AI24*$D$10)</f>
        <v/>
      </c>
    </row>
    <row r="39" spans="2:6" hidden="1" x14ac:dyDescent="0.2">
      <c r="B39" s="80">
        <v>5</v>
      </c>
      <c r="C39" s="80" t="str">
        <f>IF(Бланк!$R25="","",IF(Бланк!$R25="RAL",CONCATENATE("RAL",Бланк!$S25),IF(Бланк!$R25="NCS",CONCATENATE("NCS",Бланк!$S25),IF(Бланк!$R25="Mobihel",CONCATENATE("Mobihel",Бланк!$S25),IF(Бланк!$R25="Unicolor",CONCATENATE("Unicolor",Бланк!$S25),IF(Бланк!$R25="Autocolor",CONCATENATE("autocolor",Бланк!$S25),IF(Бланк!$R25="Білий базовий","RAL9003","")))))))</f>
        <v/>
      </c>
      <c r="D39" s="80" t="str">
        <f>IF(Бланк!$T25="","",Бланк!$T25)</f>
        <v/>
      </c>
      <c r="E39" s="80" t="s">
        <v>159</v>
      </c>
      <c r="F39" s="85" t="str">
        <f>IF(OR(Бланк!$AI25="",Бланк!$AI25=0),"",Бланк!$AI25*$D$10)</f>
        <v/>
      </c>
    </row>
    <row r="40" spans="2:6" hidden="1" x14ac:dyDescent="0.2">
      <c r="B40" s="80">
        <v>6</v>
      </c>
      <c r="C40" s="80" t="str">
        <f>IF(Бланк!$R26="","",IF(Бланк!$R26="RAL",CONCATENATE("RAL",Бланк!$S26),IF(Бланк!$R26="NCS",CONCATENATE("NCS",Бланк!$S26),IF(Бланк!$R26="Mobihel",CONCATENATE("Mobihel",Бланк!$S26),IF(Бланк!$R26="Unicolor",CONCATENATE("Unicolor",Бланк!$S26),IF(Бланк!$R26="Autocolor",CONCATENATE("autocolor",Бланк!$S26),IF(Бланк!$R26="Білий базовий","RAL9003","")))))))</f>
        <v/>
      </c>
      <c r="D40" s="80" t="str">
        <f>IF(Бланк!$T26="","",Бланк!$T26)</f>
        <v/>
      </c>
      <c r="E40" s="80" t="s">
        <v>159</v>
      </c>
      <c r="F40" s="85" t="str">
        <f>IF(OR(Бланк!$AI26="",Бланк!$AI26=0),"",Бланк!$AI26*$D$10)</f>
        <v/>
      </c>
    </row>
    <row r="41" spans="2:6" hidden="1" x14ac:dyDescent="0.2">
      <c r="B41" s="80">
        <v>7</v>
      </c>
      <c r="C41" s="80" t="str">
        <f>IF(Бланк!$R27="","",IF(Бланк!$R27="RAL",CONCATENATE("RAL",Бланк!$S27),IF(Бланк!$R27="NCS",CONCATENATE("NCS",Бланк!$S27),IF(Бланк!$R27="Mobihel",CONCATENATE("Mobihel",Бланк!$S27),IF(Бланк!$R27="Unicolor",CONCATENATE("Unicolor",Бланк!$S27),IF(Бланк!$R27="Autocolor",CONCATENATE("autocolor",Бланк!$S27),IF(Бланк!$R27="Білий базовий","RAL9003","")))))))</f>
        <v/>
      </c>
      <c r="D41" s="80" t="str">
        <f>IF(Бланк!$T27="","",Бланк!$T27)</f>
        <v/>
      </c>
      <c r="E41" s="80" t="s">
        <v>159</v>
      </c>
      <c r="F41" s="85" t="str">
        <f>IF(OR(Бланк!$AI27="",Бланк!$AI27=0),"",Бланк!$AI27*$D$10)</f>
        <v/>
      </c>
    </row>
    <row r="42" spans="2:6" hidden="1" x14ac:dyDescent="0.2">
      <c r="B42" s="80">
        <v>8</v>
      </c>
      <c r="C42" s="80" t="str">
        <f>IF(Бланк!$R28="","",IF(Бланк!$R28="RAL",CONCATENATE("RAL",Бланк!$S28),IF(Бланк!$R28="NCS",CONCATENATE("NCS",Бланк!$S28),IF(Бланк!$R28="Mobihel",CONCATENATE("Mobihel",Бланк!$S28),IF(Бланк!$R28="Unicolor",CONCATENATE("Unicolor",Бланк!$S28),IF(Бланк!$R28="Autocolor",CONCATENATE("autocolor",Бланк!$S28),IF(Бланк!$R28="Білий базовий","RAL9003","")))))))</f>
        <v/>
      </c>
      <c r="D42" s="80" t="str">
        <f>IF(Бланк!$T28="","",Бланк!$T28)</f>
        <v/>
      </c>
      <c r="E42" s="80" t="s">
        <v>159</v>
      </c>
      <c r="F42" s="85" t="str">
        <f>IF(OR(Бланк!$AI28="",Бланк!$AI28=0),"",Бланк!$AI28*$D$10)</f>
        <v/>
      </c>
    </row>
    <row r="43" spans="2:6" hidden="1" x14ac:dyDescent="0.2">
      <c r="B43" s="80">
        <v>9</v>
      </c>
      <c r="C43" s="80" t="str">
        <f>IF(Бланк!$R29="","",IF(Бланк!$R29="RAL",CONCATENATE("RAL",Бланк!$S29),IF(Бланк!$R29="NCS",CONCATENATE("NCS",Бланк!$S29),IF(Бланк!$R29="Mobihel",CONCATENATE("Mobihel",Бланк!$S29),IF(Бланк!$R29="Unicolor",CONCATENATE("Unicolor",Бланк!$S29),IF(Бланк!$R29="Autocolor",CONCATENATE("autocolor",Бланк!$S29),IF(Бланк!$R29="Білий базовий","RAL9003","")))))))</f>
        <v/>
      </c>
      <c r="D43" s="80" t="str">
        <f>IF(Бланк!$T29="","",Бланк!$T29)</f>
        <v/>
      </c>
      <c r="E43" s="80" t="s">
        <v>159</v>
      </c>
      <c r="F43" s="85" t="str">
        <f>IF(OR(Бланк!$AI29="",Бланк!$AI29=0),"",Бланк!$AI29*$D$10)</f>
        <v/>
      </c>
    </row>
    <row r="44" spans="2:6" hidden="1" x14ac:dyDescent="0.2">
      <c r="B44" s="80">
        <v>10</v>
      </c>
      <c r="C44" s="80" t="str">
        <f>IF(Бланк!$R30="","",IF(Бланк!$R30="RAL",CONCATENATE("RAL",Бланк!$S30),IF(Бланк!$R30="NCS",CONCATENATE("NCS",Бланк!$S30),IF(Бланк!$R30="Mobihel",CONCATENATE("Mobihel",Бланк!$S30),IF(Бланк!$R30="Unicolor",CONCATENATE("Unicolor",Бланк!$S30),IF(Бланк!$R30="Autocolor",CONCATENATE("autocolor",Бланк!$S30),IF(Бланк!$R30="Білий базовий","RAL9003","")))))))</f>
        <v/>
      </c>
      <c r="D44" s="80" t="str">
        <f>IF(Бланк!$T30="","",Бланк!$T30)</f>
        <v/>
      </c>
      <c r="E44" s="80" t="s">
        <v>159</v>
      </c>
      <c r="F44" s="85" t="str">
        <f>IF(OR(Бланк!$AI30="",Бланк!$AI30=0),"",Бланк!$AI30*$D$10)</f>
        <v/>
      </c>
    </row>
    <row r="45" spans="2:6" hidden="1" x14ac:dyDescent="0.2">
      <c r="B45" s="80">
        <v>11</v>
      </c>
      <c r="C45" s="80" t="str">
        <f>IF(Бланк!$R31="","",IF(Бланк!$R31="RAL",CONCATENATE("RAL",Бланк!$S31),IF(Бланк!$R31="NCS",CONCATENATE("NCS",Бланк!$S31),IF(Бланк!$R31="Mobihel",CONCATENATE("Mobihel",Бланк!$S31),IF(Бланк!$R31="Unicolor",CONCATENATE("Unicolor",Бланк!$S31),IF(Бланк!$R31="Autocolor",CONCATENATE("autocolor",Бланк!$S31),IF(Бланк!$R31="Білий базовий","RAL9003","")))))))</f>
        <v/>
      </c>
      <c r="D45" s="80" t="str">
        <f>IF(Бланк!$T31="","",Бланк!$T31)</f>
        <v/>
      </c>
      <c r="E45" s="80" t="s">
        <v>159</v>
      </c>
      <c r="F45" s="85" t="str">
        <f>IF(OR(Бланк!$AI31="",Бланк!$AI31=0),"",Бланк!$AI31*$D$10)</f>
        <v/>
      </c>
    </row>
    <row r="46" spans="2:6" hidden="1" x14ac:dyDescent="0.2">
      <c r="B46" s="80">
        <v>12</v>
      </c>
      <c r="C46" s="80" t="str">
        <f>IF(Бланк!$R32="","",IF(Бланк!$R32="RAL",CONCATENATE("RAL",Бланк!$S32),IF(Бланк!$R32="NCS",CONCATENATE("NCS",Бланк!$S32),IF(Бланк!$R32="Mobihel",CONCATENATE("Mobihel",Бланк!$S32),IF(Бланк!$R32="Unicolor",CONCATENATE("Unicolor",Бланк!$S32),IF(Бланк!$R32="Autocolor",CONCATENATE("autocolor",Бланк!$S32),IF(Бланк!$R32="Білий базовий","RAL9003","")))))))</f>
        <v/>
      </c>
      <c r="D46" s="80" t="str">
        <f>IF(Бланк!$T32="","",Бланк!$T32)</f>
        <v/>
      </c>
      <c r="E46" s="80" t="s">
        <v>159</v>
      </c>
      <c r="F46" s="85" t="str">
        <f>IF(OR(Бланк!$AI32="",Бланк!$AI32=0),"",Бланк!$AI32*$D$10)</f>
        <v/>
      </c>
    </row>
    <row r="47" spans="2:6" hidden="1" x14ac:dyDescent="0.2">
      <c r="B47" s="80">
        <v>13</v>
      </c>
      <c r="C47" s="80" t="str">
        <f>IF(Бланк!$R33="","",IF(Бланк!$R33="RAL",CONCATENATE("RAL",Бланк!$S33),IF(Бланк!$R33="NCS",CONCATENATE("NCS",Бланк!$S33),IF(Бланк!$R33="Mobihel",CONCATENATE("Mobihel",Бланк!$S33),IF(Бланк!$R33="Unicolor",CONCATENATE("Unicolor",Бланк!$S33),IF(Бланк!$R33="Autocolor",CONCATENATE("autocolor",Бланк!$S33),IF(Бланк!$R33="Білий базовий","RAL9003","")))))))</f>
        <v/>
      </c>
      <c r="D47" s="80" t="str">
        <f>IF(Бланк!$T33="","",Бланк!$T33)</f>
        <v/>
      </c>
      <c r="E47" s="80" t="s">
        <v>159</v>
      </c>
      <c r="F47" s="85" t="str">
        <f>IF(OR(Бланк!$AI33="",Бланк!$AI33=0),"",Бланк!$AI33*$D$10)</f>
        <v/>
      </c>
    </row>
    <row r="48" spans="2:6" hidden="1" x14ac:dyDescent="0.2">
      <c r="B48" s="80">
        <v>14</v>
      </c>
      <c r="C48" s="80" t="str">
        <f>IF(Бланк!$R34="","",IF(Бланк!$R34="RAL",CONCATENATE("RAL",Бланк!$S34),IF(Бланк!$R34="NCS",CONCATENATE("NCS",Бланк!$S34),IF(Бланк!$R34="Mobihel",CONCATENATE("Mobihel",Бланк!$S34),IF(Бланк!$R34="Unicolor",CONCATENATE("Unicolor",Бланк!$S34),IF(Бланк!$R34="Autocolor",CONCATENATE("autocolor",Бланк!$S34),IF(Бланк!$R34="Білий базовий","RAL9003","")))))))</f>
        <v/>
      </c>
      <c r="D48" s="80" t="str">
        <f>IF(Бланк!$T34="","",Бланк!$T34)</f>
        <v/>
      </c>
      <c r="E48" s="80" t="s">
        <v>159</v>
      </c>
      <c r="F48" s="85" t="str">
        <f>IF(OR(Бланк!$AI34="",Бланк!$AI34=0),"",Бланк!$AI34*$D$10)</f>
        <v/>
      </c>
    </row>
    <row r="49" spans="2:6" hidden="1" x14ac:dyDescent="0.2">
      <c r="B49" s="80">
        <v>15</v>
      </c>
      <c r="C49" s="80" t="str">
        <f>IF(Бланк!$R35="","",IF(Бланк!$R35="RAL",CONCATENATE("RAL",Бланк!$S35),IF(Бланк!$R35="NCS",CONCATENATE("NCS",Бланк!$S35),IF(Бланк!$R35="Mobihel",CONCATENATE("Mobihel",Бланк!$S35),IF(Бланк!$R35="Unicolor",CONCATENATE("Unicolor",Бланк!$S35),IF(Бланк!$R35="Autocolor",CONCATENATE("autocolor",Бланк!$S35),IF(Бланк!$R35="Білий базовий","RAL9003","")))))))</f>
        <v/>
      </c>
      <c r="D49" s="80" t="str">
        <f>IF(Бланк!$T35="","",Бланк!$T35)</f>
        <v/>
      </c>
      <c r="E49" s="80" t="s">
        <v>159</v>
      </c>
      <c r="F49" s="85" t="str">
        <f>IF(OR(Бланк!$AI35="",Бланк!$AI35=0),"",Бланк!$AI35*$D$10)</f>
        <v/>
      </c>
    </row>
    <row r="50" spans="2:6" hidden="1" x14ac:dyDescent="0.2">
      <c r="B50" s="80">
        <v>16</v>
      </c>
      <c r="C50" s="80" t="str">
        <f>IF(Бланк!$R36="","",IF(Бланк!$R36="RAL",CONCATENATE("RAL",Бланк!$S36),IF(Бланк!$R36="NCS",CONCATENATE("NCS",Бланк!$S36),IF(Бланк!$R36="Mobihel",CONCATENATE("Mobihel",Бланк!$S36),IF(Бланк!$R36="Unicolor",CONCATENATE("Unicolor",Бланк!$S36),IF(Бланк!$R36="Autocolor",CONCATENATE("autocolor",Бланк!$S36),IF(Бланк!$R36="Білий базовий","RAL9003","")))))))</f>
        <v/>
      </c>
      <c r="D50" s="80" t="str">
        <f>IF(Бланк!$T36="","",Бланк!$T36)</f>
        <v/>
      </c>
      <c r="E50" s="80" t="s">
        <v>159</v>
      </c>
      <c r="F50" s="85" t="str">
        <f>IF(OR(Бланк!$AI36="",Бланк!$AI36=0),"",Бланк!$AI36*$D$10)</f>
        <v/>
      </c>
    </row>
    <row r="51" spans="2:6" hidden="1" x14ac:dyDescent="0.2">
      <c r="B51" s="80">
        <v>17</v>
      </c>
      <c r="C51" s="80" t="str">
        <f>IF(Бланк!$R37="","",IF(Бланк!$R37="RAL",CONCATENATE("RAL",Бланк!$S37),IF(Бланк!$R37="NCS",CONCATENATE("NCS",Бланк!$S37),IF(Бланк!$R37="Mobihel",CONCATENATE("Mobihel",Бланк!$S37),IF(Бланк!$R37="Unicolor",CONCATENATE("Unicolor",Бланк!$S37),IF(Бланк!$R37="Autocolor",CONCATENATE("autocolor",Бланк!$S37),IF(Бланк!$R37="Білий базовий","RAL9003","")))))))</f>
        <v/>
      </c>
      <c r="D51" s="80" t="str">
        <f>IF(Бланк!$T37="","",Бланк!$T37)</f>
        <v/>
      </c>
      <c r="E51" s="80" t="s">
        <v>159</v>
      </c>
      <c r="F51" s="85" t="str">
        <f>IF(OR(Бланк!$AI37="",Бланк!$AI37=0),"",Бланк!$AI37*$D$10)</f>
        <v/>
      </c>
    </row>
    <row r="52" spans="2:6" hidden="1" x14ac:dyDescent="0.2">
      <c r="B52" s="80">
        <v>18</v>
      </c>
      <c r="C52" s="80" t="str">
        <f>IF(Бланк!$R38="","",IF(Бланк!$R38="RAL",CONCATENATE("RAL",Бланк!$S38),IF(Бланк!$R38="NCS",CONCATENATE("NCS",Бланк!$S38),IF(Бланк!$R38="Mobihel",CONCATENATE("Mobihel",Бланк!$S38),IF(Бланк!$R38="Unicolor",CONCATENATE("Unicolor",Бланк!$S38),IF(Бланк!$R38="Autocolor",CONCATENATE("autocolor",Бланк!$S38),IF(Бланк!$R38="Білий базовий","RAL9003","")))))))</f>
        <v/>
      </c>
      <c r="D52" s="80" t="str">
        <f>IF(Бланк!$T38="","",Бланк!$T38)</f>
        <v/>
      </c>
      <c r="E52" s="80" t="s">
        <v>159</v>
      </c>
      <c r="F52" s="85" t="str">
        <f>IF(OR(Бланк!$AI38="",Бланк!$AI38=0),"",Бланк!$AI38*$D$10)</f>
        <v/>
      </c>
    </row>
    <row r="53" spans="2:6" hidden="1" x14ac:dyDescent="0.2">
      <c r="B53" s="80">
        <v>19</v>
      </c>
      <c r="C53" s="80" t="str">
        <f>IF(Бланк!$R39="","",IF(Бланк!$R39="RAL",CONCATENATE("RAL",Бланк!$S39),IF(Бланк!$R39="NCS",CONCATENATE("NCS",Бланк!$S39),IF(Бланк!$R39="Mobihel",CONCATENATE("Mobihel",Бланк!$S39),IF(Бланк!$R39="Unicolor",CONCATENATE("Unicolor",Бланк!$S39),IF(Бланк!$R39="Autocolor",CONCATENATE("autocolor",Бланк!$S39),IF(Бланк!$R39="Білий базовий","RAL9003","")))))))</f>
        <v/>
      </c>
      <c r="D53" s="80" t="str">
        <f>IF(Бланк!$T39="","",Бланк!$T39)</f>
        <v/>
      </c>
      <c r="E53" s="80" t="s">
        <v>159</v>
      </c>
      <c r="F53" s="85" t="str">
        <f>IF(OR(Бланк!$AI39="",Бланк!$AI39=0),"",Бланк!$AI39*$D$10)</f>
        <v/>
      </c>
    </row>
    <row r="54" spans="2:6" hidden="1" x14ac:dyDescent="0.2">
      <c r="B54" s="80">
        <v>20</v>
      </c>
      <c r="C54" s="80" t="str">
        <f>IF(Бланк!$R40="","",IF(Бланк!$R40="RAL",CONCATENATE("RAL",Бланк!$S40),IF(Бланк!$R40="NCS",CONCATENATE("NCS",Бланк!$S40),IF(Бланк!$R40="Mobihel",CONCATENATE("Mobihel",Бланк!$S40),IF(Бланк!$R40="Unicolor",CONCATENATE("Unicolor",Бланк!$S40),IF(Бланк!$R40="Autocolor",CONCATENATE("autocolor",Бланк!$S40),IF(Бланк!$R40="Білий базовий","RAL9003","")))))))</f>
        <v/>
      </c>
      <c r="D54" s="80" t="str">
        <f>IF(Бланк!$T40="","",Бланк!$T40)</f>
        <v/>
      </c>
      <c r="E54" s="80" t="s">
        <v>159</v>
      </c>
      <c r="F54" s="85" t="str">
        <f>IF(OR(Бланк!$AI40="",Бланк!$AI40=0),"",Бланк!$AI40*$D$10)</f>
        <v/>
      </c>
    </row>
    <row r="55" spans="2:6" hidden="1" x14ac:dyDescent="0.2">
      <c r="B55" s="80">
        <v>21</v>
      </c>
      <c r="C55" s="80" t="str">
        <f>IF(Бланк!$R41="","",IF(Бланк!$R41="RAL",CONCATENATE("RAL",Бланк!$S41),IF(Бланк!$R41="NCS",CONCATENATE("NCS",Бланк!$S41),IF(Бланк!$R41="Mobihel",CONCATENATE("Mobihel",Бланк!$S41),IF(Бланк!$R41="Unicolor",CONCATENATE("Unicolor",Бланк!$S41),IF(Бланк!$R41="Autocolor",CONCATENATE("autocolor",Бланк!$S41),IF(Бланк!$R41="Білий базовий","RAL9003","")))))))</f>
        <v/>
      </c>
      <c r="D55" s="80" t="str">
        <f>IF(Бланк!$T41="","",Бланк!$T41)</f>
        <v/>
      </c>
      <c r="E55" s="80" t="s">
        <v>159</v>
      </c>
      <c r="F55" s="85" t="str">
        <f>IF(OR(Бланк!$AI41="",Бланк!$AI41=0),"",Бланк!$AI41*$D$10)</f>
        <v/>
      </c>
    </row>
    <row r="56" spans="2:6" hidden="1" x14ac:dyDescent="0.2">
      <c r="B56" s="80">
        <v>22</v>
      </c>
      <c r="C56" s="80" t="str">
        <f>IF(Бланк!$R42="","",IF(Бланк!$R42="RAL",CONCATENATE("RAL",Бланк!$S42),IF(Бланк!$R42="NCS",CONCATENATE("NCS",Бланк!$S42),IF(Бланк!$R42="Mobihel",CONCATENATE("Mobihel",Бланк!$S42),IF(Бланк!$R42="Unicolor",CONCATENATE("Unicolor",Бланк!$S42),IF(Бланк!$R42="Autocolor",CONCATENATE("autocolor",Бланк!$S42),IF(Бланк!$R42="Білий базовий","RAL9003","")))))))</f>
        <v/>
      </c>
      <c r="D56" s="80" t="str">
        <f>IF(Бланк!$T42="","",Бланк!$T42)</f>
        <v/>
      </c>
      <c r="E56" s="80" t="s">
        <v>159</v>
      </c>
      <c r="F56" s="85" t="str">
        <f>IF(OR(Бланк!$AI42="",Бланк!$AI42=0),"",Бланк!$AI42*$D$10)</f>
        <v/>
      </c>
    </row>
    <row r="57" spans="2:6" hidden="1" x14ac:dyDescent="0.2">
      <c r="B57" s="80">
        <v>23</v>
      </c>
      <c r="C57" s="80" t="str">
        <f>IF(Бланк!$R43="","",IF(Бланк!$R43="RAL",CONCATENATE("RAL",Бланк!$S43),IF(Бланк!$R43="NCS",CONCATENATE("NCS",Бланк!$S43),IF(Бланк!$R43="Mobihel",CONCATENATE("Mobihel",Бланк!$S43),IF(Бланк!$R43="Unicolor",CONCATENATE("Unicolor",Бланк!$S43),IF(Бланк!$R43="Autocolor",CONCATENATE("autocolor",Бланк!$S43),IF(Бланк!$R43="Білий базовий","RAL9003","")))))))</f>
        <v/>
      </c>
      <c r="D57" s="80" t="str">
        <f>IF(Бланк!$T43="","",Бланк!$T43)</f>
        <v/>
      </c>
      <c r="E57" s="80" t="s">
        <v>159</v>
      </c>
      <c r="F57" s="85" t="str">
        <f>IF(OR(Бланк!$AI43="",Бланк!$AI43=0),"",Бланк!$AI43*$D$10)</f>
        <v/>
      </c>
    </row>
    <row r="58" spans="2:6" hidden="1" x14ac:dyDescent="0.2">
      <c r="B58" s="80">
        <v>24</v>
      </c>
      <c r="C58" s="80" t="str">
        <f>IF(Бланк!$R44="","",IF(Бланк!$R44="RAL",CONCATENATE("RAL",Бланк!$S44),IF(Бланк!$R44="NCS",CONCATENATE("NCS",Бланк!$S44),IF(Бланк!$R44="Mobihel",CONCATENATE("Mobihel",Бланк!$S44),IF(Бланк!$R44="Unicolor",CONCATENATE("Unicolor",Бланк!$S44),IF(Бланк!$R44="Autocolor",CONCATENATE("autocolor",Бланк!$S44),IF(Бланк!$R44="Білий базовий","RAL9003","")))))))</f>
        <v/>
      </c>
      <c r="D58" s="80" t="str">
        <f>IF(Бланк!$T44="","",Бланк!$T44)</f>
        <v/>
      </c>
      <c r="E58" s="80" t="s">
        <v>159</v>
      </c>
      <c r="F58" s="85" t="str">
        <f>IF(OR(Бланк!$AI44="",Бланк!$AI44=0),"",Бланк!$AI44*$D$10)</f>
        <v/>
      </c>
    </row>
    <row r="59" spans="2:6" hidden="1" x14ac:dyDescent="0.2">
      <c r="B59" s="80">
        <v>25</v>
      </c>
      <c r="C59" s="80" t="str">
        <f>IF(Бланк!$R45="","",IF(Бланк!$R45="RAL",CONCATENATE("RAL",Бланк!$S45),IF(Бланк!$R45="NCS",CONCATENATE("NCS",Бланк!$S45),IF(Бланк!$R45="Mobihel",CONCATENATE("Mobihel",Бланк!$S45),IF(Бланк!$R45="Unicolor",CONCATENATE("Unicolor",Бланк!$S45),IF(Бланк!$R45="Autocolor",CONCATENATE("autocolor",Бланк!$S45),IF(Бланк!$R45="Білий базовий","RAL9003","")))))))</f>
        <v/>
      </c>
      <c r="D59" s="80" t="str">
        <f>IF(Бланк!$T45="","",Бланк!$T45)</f>
        <v/>
      </c>
      <c r="E59" s="80" t="s">
        <v>159</v>
      </c>
      <c r="F59" s="85" t="str">
        <f>IF(OR(Бланк!$AI45="",Бланк!$AI45=0),"",Бланк!$AI45*$D$10)</f>
        <v/>
      </c>
    </row>
    <row r="60" spans="2:6" hidden="1" x14ac:dyDescent="0.2">
      <c r="B60" s="80">
        <v>26</v>
      </c>
      <c r="C60" s="80" t="str">
        <f>IF(Бланк!$R46="","",IF(Бланк!$R46="RAL",CONCATENATE("RAL",Бланк!$S46),IF(Бланк!$R46="NCS",CONCATENATE("NCS",Бланк!$S46),IF(Бланк!$R46="Mobihel",CONCATENATE("Mobihel",Бланк!$S46),IF(Бланк!$R46="Unicolor",CONCATENATE("Unicolor",Бланк!$S46),IF(Бланк!$R46="Autocolor",CONCATENATE("autocolor",Бланк!$S46),IF(Бланк!$R46="Білий базовий","RAL9003","")))))))</f>
        <v/>
      </c>
      <c r="D60" s="80" t="str">
        <f>IF(Бланк!$T46="","",Бланк!$T46)</f>
        <v/>
      </c>
      <c r="E60" s="80" t="s">
        <v>159</v>
      </c>
      <c r="F60" s="85" t="str">
        <f>IF(OR(Бланк!$AI46="",Бланк!$AI46=0),"",Бланк!$AI46*$D$10)</f>
        <v/>
      </c>
    </row>
    <row r="61" spans="2:6" hidden="1" x14ac:dyDescent="0.2">
      <c r="B61" s="80">
        <v>27</v>
      </c>
      <c r="C61" s="80" t="str">
        <f>IF(Бланк!$R47="","",IF(Бланк!$R47="RAL",CONCATENATE("RAL",Бланк!$S47),IF(Бланк!$R47="NCS",CONCATENATE("NCS",Бланк!$S47),IF(Бланк!$R47="Mobihel",CONCATENATE("Mobihel",Бланк!$S47),IF(Бланк!$R47="Unicolor",CONCATENATE("Unicolor",Бланк!$S47),IF(Бланк!$R47="Autocolor",CONCATENATE("autocolor",Бланк!$S47),IF(Бланк!$R47="Білий базовий","RAL9003","")))))))</f>
        <v/>
      </c>
      <c r="D61" s="80" t="str">
        <f>IF(Бланк!$T47="","",Бланк!$T47)</f>
        <v/>
      </c>
      <c r="E61" s="80" t="s">
        <v>159</v>
      </c>
      <c r="F61" s="85" t="str">
        <f>IF(OR(Бланк!$AI47="",Бланк!$AI47=0),"",Бланк!$AI47*$D$10)</f>
        <v/>
      </c>
    </row>
    <row r="62" spans="2:6" hidden="1" x14ac:dyDescent="0.2">
      <c r="B62" s="80">
        <v>28</v>
      </c>
      <c r="C62" s="80" t="str">
        <f>IF(Бланк!$R48="","",IF(Бланк!$R48="RAL",CONCATENATE("RAL",Бланк!$S48),IF(Бланк!$R48="NCS",CONCATENATE("NCS",Бланк!$S48),IF(Бланк!$R48="Mobihel",CONCATENATE("Mobihel",Бланк!$S48),IF(Бланк!$R48="Unicolor",CONCATENATE("Unicolor",Бланк!$S48),IF(Бланк!$R48="Autocolor",CONCATENATE("autocolor",Бланк!$S48),IF(Бланк!$R48="Білий базовий","RAL9003","")))))))</f>
        <v/>
      </c>
      <c r="D62" s="80" t="str">
        <f>IF(Бланк!$T48="","",Бланк!$T48)</f>
        <v/>
      </c>
      <c r="E62" s="80" t="s">
        <v>159</v>
      </c>
      <c r="F62" s="85" t="str">
        <f>IF(OR(Бланк!$AI48="",Бланк!$AI48=0),"",Бланк!$AI48*$D$10)</f>
        <v/>
      </c>
    </row>
    <row r="63" spans="2:6" hidden="1" x14ac:dyDescent="0.2">
      <c r="B63" s="80">
        <v>29</v>
      </c>
      <c r="C63" s="80" t="str">
        <f>IF(Бланк!$R49="","",IF(Бланк!$R49="RAL",CONCATENATE("RAL",Бланк!$S49),IF(Бланк!$R49="NCS",CONCATENATE("NCS",Бланк!$S49),IF(Бланк!$R49="Mobihel",CONCATENATE("Mobihel",Бланк!$S49),IF(Бланк!$R49="Unicolor",CONCATENATE("Unicolor",Бланк!$S49),IF(Бланк!$R49="Autocolor",CONCATENATE("autocolor",Бланк!$S49),IF(Бланк!$R49="Білий базовий","RAL9003","")))))))</f>
        <v/>
      </c>
      <c r="D63" s="80" t="str">
        <f>IF(Бланк!$T49="","",Бланк!$T49)</f>
        <v/>
      </c>
      <c r="E63" s="80" t="s">
        <v>159</v>
      </c>
      <c r="F63" s="85" t="str">
        <f>IF(OR(Бланк!$AI49="",Бланк!$AI49=0),"",Бланк!$AI49*$D$10)</f>
        <v/>
      </c>
    </row>
    <row r="64" spans="2:6" hidden="1" x14ac:dyDescent="0.2">
      <c r="B64" s="80">
        <v>30</v>
      </c>
      <c r="C64" s="80" t="str">
        <f>IF(Бланк!$R50="","",IF(Бланк!$R50="RAL",CONCATENATE("RAL",Бланк!$S50),IF(Бланк!$R50="NCS",CONCATENATE("NCS",Бланк!$S50),IF(Бланк!$R50="Mobihel",CONCATENATE("Mobihel",Бланк!$S50),IF(Бланк!$R50="Unicolor",CONCATENATE("Unicolor",Бланк!$S50),IF(Бланк!$R50="Autocolor",CONCATENATE("autocolor",Бланк!$S50),IF(Бланк!$R50="Білий базовий","RAL9003","")))))))</f>
        <v/>
      </c>
      <c r="D64" s="80" t="str">
        <f>IF(Бланк!$T50="","",Бланк!$T50)</f>
        <v/>
      </c>
      <c r="E64" s="80" t="s">
        <v>159</v>
      </c>
      <c r="F64" s="85" t="str">
        <f>IF(OR(Бланк!$AI50="",Бланк!$AI50=0),"",Бланк!$AI50*$D$10)</f>
        <v/>
      </c>
    </row>
    <row r="65" spans="2:6" hidden="1" x14ac:dyDescent="0.2">
      <c r="B65" s="80">
        <v>31</v>
      </c>
      <c r="C65" s="80" t="str">
        <f>IF(Бланк!$R51="","",IF(Бланк!$R51="RAL",CONCATENATE("RAL",Бланк!$S51),IF(Бланк!$R51="NCS",CONCATENATE("NCS",Бланк!$S51),IF(Бланк!$R51="Mobihel",CONCATENATE("Mobihel",Бланк!$S51),IF(Бланк!$R51="Unicolor",CONCATENATE("Unicolor",Бланк!$S51),IF(Бланк!$R51="Autocolor",CONCATENATE("autocolor",Бланк!$S51),IF(Бланк!$R51="Білий базовий","RAL9003","")))))))</f>
        <v/>
      </c>
      <c r="D65" s="80" t="str">
        <f>IF(Бланк!$T51="","",Бланк!$T51)</f>
        <v/>
      </c>
      <c r="E65" s="80" t="s">
        <v>159</v>
      </c>
      <c r="F65" s="85" t="str">
        <f>IF(OR(Бланк!$AI51="",Бланк!$AI51=0),"",Бланк!$AI51*$D$10)</f>
        <v/>
      </c>
    </row>
    <row r="66" spans="2:6" hidden="1" x14ac:dyDescent="0.2">
      <c r="B66" s="80">
        <v>32</v>
      </c>
      <c r="C66" s="80" t="str">
        <f>IF(Бланк!$R52="","",IF(Бланк!$R52="RAL",CONCATENATE("RAL",Бланк!$S52),IF(Бланк!$R52="NCS",CONCATENATE("NCS",Бланк!$S52),IF(Бланк!$R52="Mobihel",CONCATENATE("Mobihel",Бланк!$S52),IF(Бланк!$R52="Unicolor",CONCATENATE("Unicolor",Бланк!$S52),IF(Бланк!$R52="Autocolor",CONCATENATE("autocolor",Бланк!$S52),IF(Бланк!$R52="Білий базовий","RAL9003","")))))))</f>
        <v/>
      </c>
      <c r="D66" s="80" t="str">
        <f>IF(Бланк!$T52="","",Бланк!$T52)</f>
        <v/>
      </c>
      <c r="E66" s="80" t="s">
        <v>159</v>
      </c>
      <c r="F66" s="85" t="str">
        <f>IF(OR(Бланк!$AI52="",Бланк!$AI52=0),"",Бланк!$AI52*$D$10)</f>
        <v/>
      </c>
    </row>
    <row r="67" spans="2:6" hidden="1" x14ac:dyDescent="0.2">
      <c r="B67" s="80">
        <v>33</v>
      </c>
      <c r="C67" s="80" t="str">
        <f>IF(Бланк!$R53="","",IF(Бланк!$R53="RAL",CONCATENATE("RAL",Бланк!$S53),IF(Бланк!$R53="NCS",CONCATENATE("NCS",Бланк!$S53),IF(Бланк!$R53="Mobihel",CONCATENATE("Mobihel",Бланк!$S53),IF(Бланк!$R53="Unicolor",CONCATENATE("Unicolor",Бланк!$S53),IF(Бланк!$R53="Autocolor",CONCATENATE("autocolor",Бланк!$S53),IF(Бланк!$R53="Білий базовий","RAL9003","")))))))</f>
        <v/>
      </c>
      <c r="D67" s="80" t="str">
        <f>IF(Бланк!$T53="","",Бланк!$T53)</f>
        <v/>
      </c>
      <c r="E67" s="80" t="s">
        <v>159</v>
      </c>
      <c r="F67" s="85" t="str">
        <f>IF(OR(Бланк!$AI53="",Бланк!$AI53=0),"",Бланк!$AI53*$D$10)</f>
        <v/>
      </c>
    </row>
    <row r="68" spans="2:6" hidden="1" x14ac:dyDescent="0.2">
      <c r="B68" s="80">
        <v>34</v>
      </c>
      <c r="C68" s="80" t="str">
        <f>IF(Бланк!$R54="","",IF(Бланк!$R54="RAL",CONCATENATE("RAL",Бланк!$S54),IF(Бланк!$R54="NCS",CONCATENATE("NCS",Бланк!$S54),IF(Бланк!$R54="Mobihel",CONCATENATE("Mobihel",Бланк!$S54),IF(Бланк!$R54="Unicolor",CONCATENATE("Unicolor",Бланк!$S54),IF(Бланк!$R54="Autocolor",CONCATENATE("autocolor",Бланк!$S54),IF(Бланк!$R54="Білий базовий","RAL9003","")))))))</f>
        <v/>
      </c>
      <c r="D68" s="80" t="str">
        <f>IF(Бланк!$T54="","",Бланк!$T54)</f>
        <v/>
      </c>
      <c r="E68" s="80" t="s">
        <v>159</v>
      </c>
      <c r="F68" s="85" t="str">
        <f>IF(OR(Бланк!$AI54="",Бланк!$AI54=0),"",Бланк!$AI54*$D$10)</f>
        <v/>
      </c>
    </row>
    <row r="69" spans="2:6" hidden="1" x14ac:dyDescent="0.2">
      <c r="B69" s="80">
        <v>35</v>
      </c>
      <c r="C69" s="80" t="str">
        <f>IF(Бланк!$R55="","",IF(Бланк!$R55="RAL",CONCATENATE("RAL",Бланк!$S55),IF(Бланк!$R55="NCS",CONCATENATE("NCS",Бланк!$S55),IF(Бланк!$R55="Mobihel",CONCATENATE("Mobihel",Бланк!$S55),IF(Бланк!$R55="Unicolor",CONCATENATE("Unicolor",Бланк!$S55),IF(Бланк!$R55="Autocolor",CONCATENATE("autocolor",Бланк!$S55),IF(Бланк!$R55="Білий базовий","RAL9003","")))))))</f>
        <v/>
      </c>
      <c r="D69" s="80" t="str">
        <f>IF(Бланк!$T55="","",Бланк!$T55)</f>
        <v/>
      </c>
      <c r="E69" s="80" t="s">
        <v>159</v>
      </c>
      <c r="F69" s="85" t="str">
        <f>IF(OR(Бланк!$AI55="",Бланк!$AI55=0),"",Бланк!$AI55*$D$10)</f>
        <v/>
      </c>
    </row>
    <row r="70" spans="2:6" hidden="1" x14ac:dyDescent="0.2">
      <c r="B70" s="80">
        <v>36</v>
      </c>
      <c r="C70" s="80" t="str">
        <f>IF(Бланк!$R56="","",IF(Бланк!$R56="RAL",CONCATENATE("RAL",Бланк!$S56),IF(Бланк!$R56="NCS",CONCATENATE("NCS",Бланк!$S56),IF(Бланк!$R56="Mobihel",CONCATENATE("Mobihel",Бланк!$S56),IF(Бланк!$R56="Unicolor",CONCATENATE("Unicolor",Бланк!$S56),IF(Бланк!$R56="Autocolor",CONCATENATE("autocolor",Бланк!$S56),IF(Бланк!$R56="Білий базовий","RAL9003","")))))))</f>
        <v/>
      </c>
      <c r="D70" s="80" t="str">
        <f>IF(Бланк!$T56="","",Бланк!$T56)</f>
        <v/>
      </c>
      <c r="E70" s="80" t="s">
        <v>159</v>
      </c>
      <c r="F70" s="85" t="str">
        <f>IF(OR(Бланк!$AI56="",Бланк!$AI56=0),"",Бланк!$AI56*$D$10)</f>
        <v/>
      </c>
    </row>
    <row r="71" spans="2:6" hidden="1" x14ac:dyDescent="0.2">
      <c r="B71" s="80">
        <v>37</v>
      </c>
      <c r="C71" s="80" t="str">
        <f>IF(Бланк!$R57="","",IF(Бланк!$R57="RAL",CONCATENATE("RAL",Бланк!$S57),IF(Бланк!$R57="NCS",CONCATENATE("NCS",Бланк!$S57),IF(Бланк!$R57="Mobihel",CONCATENATE("Mobihel",Бланк!$S57),IF(Бланк!$R57="Unicolor",CONCATENATE("Unicolor",Бланк!$S57),IF(Бланк!$R57="Autocolor",CONCATENATE("autocolor",Бланк!$S57),IF(Бланк!$R57="Білий базовий","RAL9003","")))))))</f>
        <v/>
      </c>
      <c r="D71" s="80" t="str">
        <f>IF(Бланк!$T57="","",Бланк!$T57)</f>
        <v/>
      </c>
      <c r="E71" s="80" t="s">
        <v>159</v>
      </c>
      <c r="F71" s="85" t="str">
        <f>IF(OR(Бланк!$AI57="",Бланк!$AI57=0),"",Бланк!$AI57*$D$10)</f>
        <v/>
      </c>
    </row>
    <row r="72" spans="2:6" hidden="1" x14ac:dyDescent="0.2">
      <c r="B72" s="80">
        <v>38</v>
      </c>
      <c r="C72" s="80" t="str">
        <f>IF(Бланк!$R58="","",IF(Бланк!$R58="RAL",CONCATENATE("RAL",Бланк!$S58),IF(Бланк!$R58="NCS",CONCATENATE("NCS",Бланк!$S58),IF(Бланк!$R58="Mobihel",CONCATENATE("Mobihel",Бланк!$S58),IF(Бланк!$R58="Unicolor",CONCATENATE("Unicolor",Бланк!$S58),IF(Бланк!$R58="Autocolor",CONCATENATE("autocolor",Бланк!$S58),IF(Бланк!$R58="Білий базовий","RAL9003","")))))))</f>
        <v/>
      </c>
      <c r="D72" s="80" t="str">
        <f>IF(Бланк!$T58="","",Бланк!$T58)</f>
        <v/>
      </c>
      <c r="E72" s="80" t="s">
        <v>159</v>
      </c>
      <c r="F72" s="85" t="str">
        <f>IF(OR(Бланк!$AI58="",Бланк!$AI58=0),"",Бланк!$AI58*$D$10)</f>
        <v/>
      </c>
    </row>
    <row r="73" spans="2:6" hidden="1" x14ac:dyDescent="0.2">
      <c r="B73" s="80">
        <v>39</v>
      </c>
      <c r="C73" s="80" t="str">
        <f>IF(Бланк!$R59="","",IF(Бланк!$R59="RAL",CONCATENATE("RAL",Бланк!$S59),IF(Бланк!$R59="NCS",CONCATENATE("NCS",Бланк!$S59),IF(Бланк!$R59="Mobihel",CONCATENATE("Mobihel",Бланк!$S59),IF(Бланк!$R59="Unicolor",CONCATENATE("Unicolor",Бланк!$S59),IF(Бланк!$R59="Autocolor",CONCATENATE("autocolor",Бланк!$S59),IF(Бланк!$R59="Білий базовий","RAL9003","")))))))</f>
        <v/>
      </c>
      <c r="D73" s="80" t="str">
        <f>IF(Бланк!$T59="","",Бланк!$T59)</f>
        <v/>
      </c>
      <c r="E73" s="80" t="s">
        <v>159</v>
      </c>
      <c r="F73" s="85" t="str">
        <f>IF(OR(Бланк!$AI59="",Бланк!$AI59=0),"",Бланк!$AI59*$D$10)</f>
        <v/>
      </c>
    </row>
    <row r="74" spans="2:6" hidden="1" x14ac:dyDescent="0.2">
      <c r="B74" s="80">
        <v>40</v>
      </c>
      <c r="C74" s="80" t="str">
        <f>IF(Бланк!$R60="","",IF(Бланк!$R60="RAL",CONCATENATE("RAL",Бланк!$S60),IF(Бланк!$R60="NCS",CONCATENATE("NCS",Бланк!$S60),IF(Бланк!$R60="Mobihel",CONCATENATE("Mobihel",Бланк!$S60),IF(Бланк!$R60="Unicolor",CONCATENATE("Unicolor",Бланк!$S60),IF(Бланк!$R60="Autocolor",CONCATENATE("autocolor",Бланк!$S60),IF(Бланк!$R60="Білий базовий","RAL9003","")))))))</f>
        <v/>
      </c>
      <c r="D74" s="80" t="str">
        <f>IF(Бланк!$T60="","",Бланк!$T60)</f>
        <v/>
      </c>
      <c r="E74" s="80" t="s">
        <v>159</v>
      </c>
      <c r="F74" s="85" t="str">
        <f>IF(OR(Бланк!$AI60="",Бланк!$AI60=0),"",Бланк!$AI60*$D$10)</f>
        <v/>
      </c>
    </row>
    <row r="75" spans="2:6" hidden="1" x14ac:dyDescent="0.2">
      <c r="B75" s="80">
        <v>41</v>
      </c>
      <c r="C75" s="80" t="str">
        <f>IF(Бланк!$R61="","",IF(Бланк!$R61="RAL",CONCATENATE("RAL",Бланк!$S61),IF(Бланк!$R61="NCS",CONCATENATE("NCS",Бланк!$S61),IF(Бланк!$R61="Mobihel",CONCATENATE("Mobihel",Бланк!$S61),IF(Бланк!$R61="Unicolor",CONCATENATE("Unicolor",Бланк!$S61),IF(Бланк!$R61="Autocolor",CONCATENATE("autocolor",Бланк!$S61),IF(Бланк!$R61="Білий базовий","RAL9003","")))))))</f>
        <v/>
      </c>
      <c r="D75" s="80" t="str">
        <f>IF(Бланк!$T61="","",Бланк!$T61)</f>
        <v/>
      </c>
      <c r="E75" s="80" t="s">
        <v>159</v>
      </c>
      <c r="F75" s="85" t="str">
        <f>IF(OR(Бланк!$AI61="",Бланк!$AI61=0),"",Бланк!$AI61*$D$10)</f>
        <v/>
      </c>
    </row>
    <row r="76" spans="2:6" hidden="1" x14ac:dyDescent="0.2">
      <c r="B76" s="80">
        <v>42</v>
      </c>
      <c r="C76" s="80" t="str">
        <f>IF(Бланк!$R62="","",IF(Бланк!$R62="RAL",CONCATENATE("RAL",Бланк!$S62),IF(Бланк!$R62="NCS",CONCATENATE("NCS",Бланк!$S62),IF(Бланк!$R62="Mobihel",CONCATENATE("Mobihel",Бланк!$S62),IF(Бланк!$R62="Unicolor",CONCATENATE("Unicolor",Бланк!$S62),IF(Бланк!$R62="Autocolor",CONCATENATE("autocolor",Бланк!$S62),IF(Бланк!$R62="Білий базовий","RAL9003","")))))))</f>
        <v/>
      </c>
      <c r="D76" s="80" t="str">
        <f>IF(Бланк!$T62="","",Бланк!$T62)</f>
        <v/>
      </c>
      <c r="E76" s="80" t="s">
        <v>159</v>
      </c>
      <c r="F76" s="85" t="str">
        <f>IF(OR(Бланк!$AI62="",Бланк!$AI62=0),"",Бланк!$AI62*$D$10)</f>
        <v/>
      </c>
    </row>
    <row r="77" spans="2:6" hidden="1" x14ac:dyDescent="0.2">
      <c r="B77" s="80">
        <v>43</v>
      </c>
      <c r="C77" s="80" t="str">
        <f>IF(Бланк!$R63="","",IF(Бланк!$R63="RAL",CONCATENATE("RAL",Бланк!$S63),IF(Бланк!$R63="NCS",CONCATENATE("NCS",Бланк!$S63),IF(Бланк!$R63="Mobihel",CONCATENATE("Mobihel",Бланк!$S63),IF(Бланк!$R63="Unicolor",CONCATENATE("Unicolor",Бланк!$S63),IF(Бланк!$R63="Autocolor",CONCATENATE("autocolor",Бланк!$S63),IF(Бланк!$R63="Білий базовий","RAL9003","")))))))</f>
        <v/>
      </c>
      <c r="D77" s="80" t="str">
        <f>IF(Бланк!$T63="","",Бланк!$T63)</f>
        <v/>
      </c>
      <c r="E77" s="80" t="s">
        <v>159</v>
      </c>
      <c r="F77" s="85" t="str">
        <f>IF(OR(Бланк!$AI63="",Бланк!$AI63=0),"",Бланк!$AI63*$D$10)</f>
        <v/>
      </c>
    </row>
    <row r="78" spans="2:6" hidden="1" x14ac:dyDescent="0.2">
      <c r="B78" s="80">
        <v>44</v>
      </c>
      <c r="C78" s="80" t="str">
        <f>IF(Бланк!$R64="","",IF(Бланк!$R64="RAL",CONCATENATE("RAL",Бланк!$S64),IF(Бланк!$R64="NCS",CONCATENATE("NCS",Бланк!$S64),IF(Бланк!$R64="Mobihel",CONCATENATE("Mobihel",Бланк!$S64),IF(Бланк!$R64="Unicolor",CONCATENATE("Unicolor",Бланк!$S64),IF(Бланк!$R64="Autocolor",CONCATENATE("autocolor",Бланк!$S64),IF(Бланк!$R64="Білий базовий","RAL9003","")))))))</f>
        <v/>
      </c>
      <c r="D78" s="80" t="str">
        <f>IF(Бланк!$T64="","",Бланк!$T64)</f>
        <v/>
      </c>
      <c r="E78" s="80" t="s">
        <v>159</v>
      </c>
      <c r="F78" s="85" t="str">
        <f>IF(OR(Бланк!$AI64="",Бланк!$AI64=0),"",Бланк!$AI64*$D$10)</f>
        <v/>
      </c>
    </row>
    <row r="79" spans="2:6" hidden="1" x14ac:dyDescent="0.2">
      <c r="B79" s="80">
        <v>45</v>
      </c>
      <c r="C79" s="80" t="str">
        <f>IF(Бланк!$R65="","",IF(Бланк!$R65="RAL",CONCATENATE("RAL",Бланк!$S65),IF(Бланк!$R65="NCS",CONCATENATE("NCS",Бланк!$S65),IF(Бланк!$R65="Mobihel",CONCATENATE("Mobihel",Бланк!$S65),IF(Бланк!$R65="Unicolor",CONCATENATE("Unicolor",Бланк!$S65),IF(Бланк!$R65="Autocolor",CONCATENATE("autocolor",Бланк!$S65),IF(Бланк!$R65="Білий базовий","RAL9003","")))))))</f>
        <v/>
      </c>
      <c r="D79" s="80" t="str">
        <f>IF(Бланк!$T65="","",Бланк!$T65)</f>
        <v/>
      </c>
      <c r="E79" s="80" t="s">
        <v>159</v>
      </c>
      <c r="F79" s="85" t="str">
        <f>IF(OR(Бланк!$AI65="",Бланк!$AI65=0),"",Бланк!$AI65*$D$10)</f>
        <v/>
      </c>
    </row>
    <row r="80" spans="2:6" hidden="1" x14ac:dyDescent="0.2">
      <c r="F80" s="86">
        <f>SUM(F35:F79)</f>
        <v>0</v>
      </c>
    </row>
  </sheetData>
  <sheetProtection algorithmName="SHA-512" hashValue="VNT/SrdD8X0Ukznve75fOpW3035H75QOSlVRPxVDBSgF0sX2YMj/9nlok+nhSx0DrOqeCK1rkjdw4F/AXDL+6g==" saltValue="OFkGvrHO8bKkj/iNafFS/w==" spinCount="100000" sheet="1" objects="1" scenarios="1"/>
  <mergeCells count="2">
    <mergeCell ref="B5:C5"/>
    <mergeCell ref="E5:F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N96"/>
  <sheetViews>
    <sheetView topLeftCell="A7" workbookViewId="0">
      <selection activeCell="R27" sqref="R27"/>
    </sheetView>
  </sheetViews>
  <sheetFormatPr defaultRowHeight="12.75" x14ac:dyDescent="0.2"/>
  <cols>
    <col min="2" max="2" width="6.140625" bestFit="1" customWidth="1"/>
    <col min="3" max="3" width="23" customWidth="1"/>
    <col min="4" max="4" width="16.85546875" customWidth="1"/>
    <col min="5" max="5" width="14.7109375" customWidth="1"/>
    <col min="11" max="14" width="13.140625" customWidth="1"/>
  </cols>
  <sheetData>
    <row r="3" spans="2:14" x14ac:dyDescent="0.2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2:14" ht="15.7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132"/>
    </row>
    <row r="5" spans="2:14" ht="15.75" x14ac:dyDescent="0.2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32"/>
    </row>
    <row r="6" spans="2:14" ht="14.25" x14ac:dyDescent="0.2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133"/>
    </row>
    <row r="7" spans="2:14" ht="14.25" x14ac:dyDescent="0.2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133"/>
    </row>
    <row r="8" spans="2:14" ht="14.25" x14ac:dyDescent="0.2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134"/>
    </row>
    <row r="9" spans="2:14" x14ac:dyDescent="0.2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35"/>
    </row>
    <row r="10" spans="2:14" ht="15" x14ac:dyDescent="0.2">
      <c r="B10" s="2"/>
      <c r="C10" s="2"/>
      <c r="D10" s="2"/>
      <c r="E10" s="2"/>
      <c r="F10" s="2"/>
      <c r="G10" s="2"/>
      <c r="H10" s="2"/>
      <c r="I10" s="2"/>
      <c r="J10" s="2"/>
      <c r="K10" s="2"/>
      <c r="L10" s="136"/>
      <c r="M10" s="388"/>
      <c r="N10" s="388"/>
    </row>
    <row r="11" spans="2:14" ht="15" x14ac:dyDescent="0.2">
      <c r="B11" s="2"/>
      <c r="C11" s="2"/>
      <c r="D11" s="2"/>
      <c r="E11" s="2"/>
      <c r="F11" s="2"/>
      <c r="G11" s="2"/>
      <c r="H11" s="2"/>
      <c r="I11" s="2"/>
      <c r="J11" s="2"/>
      <c r="K11" s="2"/>
      <c r="L11" s="136"/>
      <c r="M11" s="388"/>
      <c r="N11" s="388"/>
    </row>
    <row r="12" spans="2:14" ht="12.75" customHeight="1" x14ac:dyDescent="0.2">
      <c r="B12" s="389" t="s">
        <v>255</v>
      </c>
      <c r="C12" s="389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</row>
    <row r="13" spans="2:14" x14ac:dyDescent="0.2">
      <c r="B13" s="390" t="s">
        <v>256</v>
      </c>
      <c r="C13" s="390"/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390"/>
    </row>
    <row r="14" spans="2:14" x14ac:dyDescent="0.2">
      <c r="B14" s="2"/>
      <c r="C14" s="22" t="s">
        <v>83</v>
      </c>
      <c r="D14" s="2"/>
      <c r="E14" s="2"/>
      <c r="F14" s="2"/>
      <c r="G14" s="2"/>
      <c r="H14" s="2"/>
      <c r="I14" s="2"/>
      <c r="J14" s="2"/>
      <c r="K14" s="2"/>
      <c r="L14" s="2"/>
      <c r="M14" s="391">
        <v>45330</v>
      </c>
      <c r="N14" s="391"/>
    </row>
    <row r="15" spans="2:14" x14ac:dyDescent="0.2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2:14" ht="28.5" x14ac:dyDescent="0.2">
      <c r="B16" s="64"/>
      <c r="C16" s="387" t="s">
        <v>257</v>
      </c>
      <c r="D16" s="387"/>
      <c r="E16" s="387"/>
      <c r="F16" s="131" t="s">
        <v>258</v>
      </c>
      <c r="G16" s="387" t="s">
        <v>162</v>
      </c>
      <c r="H16" s="387"/>
      <c r="I16" s="387" t="s">
        <v>163</v>
      </c>
      <c r="J16" s="387"/>
      <c r="K16" s="387" t="s">
        <v>84</v>
      </c>
      <c r="L16" s="387"/>
      <c r="M16" s="387" t="s">
        <v>164</v>
      </c>
      <c r="N16" s="387"/>
    </row>
    <row r="17" spans="2:14" ht="14.25" x14ac:dyDescent="0.2">
      <c r="B17" s="392">
        <v>1</v>
      </c>
      <c r="C17" s="393" t="s">
        <v>259</v>
      </c>
      <c r="D17" s="393"/>
      <c r="E17" s="393"/>
      <c r="F17" s="131">
        <v>1</v>
      </c>
      <c r="G17" s="387">
        <v>4244</v>
      </c>
      <c r="H17" s="387"/>
      <c r="I17" s="387">
        <v>4314</v>
      </c>
      <c r="J17" s="387"/>
      <c r="K17" s="387">
        <v>7044</v>
      </c>
      <c r="L17" s="387"/>
      <c r="M17" s="387">
        <v>7114</v>
      </c>
      <c r="N17" s="387"/>
    </row>
    <row r="18" spans="2:14" ht="14.25" x14ac:dyDescent="0.2">
      <c r="B18" s="392"/>
      <c r="C18" s="393"/>
      <c r="D18" s="393"/>
      <c r="E18" s="393"/>
      <c r="F18" s="131">
        <v>2</v>
      </c>
      <c r="G18" s="387">
        <v>4410</v>
      </c>
      <c r="H18" s="387"/>
      <c r="I18" s="387">
        <v>4510</v>
      </c>
      <c r="J18" s="387"/>
      <c r="K18" s="387">
        <v>7240</v>
      </c>
      <c r="L18" s="387"/>
      <c r="M18" s="387">
        <v>7310</v>
      </c>
      <c r="N18" s="387"/>
    </row>
    <row r="19" spans="2:14" ht="14.25" x14ac:dyDescent="0.2">
      <c r="B19" s="392">
        <v>2</v>
      </c>
      <c r="C19" s="393" t="s">
        <v>260</v>
      </c>
      <c r="D19" s="393"/>
      <c r="E19" s="393"/>
      <c r="F19" s="131">
        <v>1</v>
      </c>
      <c r="G19" s="387">
        <v>4874</v>
      </c>
      <c r="H19" s="387"/>
      <c r="I19" s="387">
        <v>4944</v>
      </c>
      <c r="J19" s="387"/>
      <c r="K19" s="387">
        <v>7674</v>
      </c>
      <c r="L19" s="387"/>
      <c r="M19" s="387">
        <v>7744</v>
      </c>
      <c r="N19" s="387"/>
    </row>
    <row r="20" spans="2:14" ht="14.25" x14ac:dyDescent="0.2">
      <c r="B20" s="392"/>
      <c r="C20" s="393"/>
      <c r="D20" s="393"/>
      <c r="E20" s="393"/>
      <c r="F20" s="131">
        <v>2</v>
      </c>
      <c r="G20" s="387">
        <v>5070</v>
      </c>
      <c r="H20" s="387"/>
      <c r="I20" s="387">
        <v>5140</v>
      </c>
      <c r="J20" s="387"/>
      <c r="K20" s="387">
        <v>7870</v>
      </c>
      <c r="L20" s="387"/>
      <c r="M20" s="387">
        <v>7940</v>
      </c>
      <c r="N20" s="387"/>
    </row>
    <row r="21" spans="2:14" ht="14.25" x14ac:dyDescent="0.2">
      <c r="B21" s="392">
        <v>3</v>
      </c>
      <c r="C21" s="393" t="s">
        <v>261</v>
      </c>
      <c r="D21" s="393"/>
      <c r="E21" s="393"/>
      <c r="F21" s="131">
        <v>1</v>
      </c>
      <c r="G21" s="387">
        <v>5154</v>
      </c>
      <c r="H21" s="387"/>
      <c r="I21" s="387">
        <v>5224</v>
      </c>
      <c r="J21" s="387"/>
      <c r="K21" s="387">
        <v>7954</v>
      </c>
      <c r="L21" s="387"/>
      <c r="M21" s="387">
        <v>8024</v>
      </c>
      <c r="N21" s="387"/>
    </row>
    <row r="22" spans="2:14" ht="14.25" x14ac:dyDescent="0.2">
      <c r="B22" s="392"/>
      <c r="C22" s="393"/>
      <c r="D22" s="393"/>
      <c r="E22" s="393"/>
      <c r="F22" s="131">
        <v>2</v>
      </c>
      <c r="G22" s="387">
        <v>5350</v>
      </c>
      <c r="H22" s="387"/>
      <c r="I22" s="387">
        <v>5420</v>
      </c>
      <c r="J22" s="387"/>
      <c r="K22" s="387">
        <v>8150</v>
      </c>
      <c r="L22" s="387"/>
      <c r="M22" s="387">
        <v>8220</v>
      </c>
      <c r="N22" s="387"/>
    </row>
    <row r="23" spans="2:14" ht="14.25" x14ac:dyDescent="0.2">
      <c r="B23" s="392">
        <v>4</v>
      </c>
      <c r="C23" s="393" t="s">
        <v>262</v>
      </c>
      <c r="D23" s="393"/>
      <c r="E23" s="393"/>
      <c r="F23" s="131">
        <v>1</v>
      </c>
      <c r="G23" s="387">
        <v>7814</v>
      </c>
      <c r="H23" s="387"/>
      <c r="I23" s="387">
        <v>7884</v>
      </c>
      <c r="J23" s="387"/>
      <c r="K23" s="387">
        <v>10614</v>
      </c>
      <c r="L23" s="387"/>
      <c r="M23" s="387">
        <v>10684</v>
      </c>
      <c r="N23" s="387"/>
    </row>
    <row r="24" spans="2:14" ht="14.25" x14ac:dyDescent="0.2">
      <c r="B24" s="392"/>
      <c r="C24" s="393"/>
      <c r="D24" s="393"/>
      <c r="E24" s="393"/>
      <c r="F24" s="131">
        <v>2</v>
      </c>
      <c r="G24" s="387">
        <v>8010</v>
      </c>
      <c r="H24" s="387"/>
      <c r="I24" s="387">
        <v>8080</v>
      </c>
      <c r="J24" s="387"/>
      <c r="K24" s="387">
        <v>10810</v>
      </c>
      <c r="L24" s="387"/>
      <c r="M24" s="387">
        <v>10880</v>
      </c>
      <c r="N24" s="387"/>
    </row>
    <row r="25" spans="2:14" ht="14.25" x14ac:dyDescent="0.2">
      <c r="B25" s="392">
        <v>5</v>
      </c>
      <c r="C25" s="393" t="s">
        <v>263</v>
      </c>
      <c r="D25" s="393"/>
      <c r="E25" s="393"/>
      <c r="F25" s="131">
        <v>1</v>
      </c>
      <c r="G25" s="387">
        <v>8514</v>
      </c>
      <c r="H25" s="387"/>
      <c r="I25" s="387">
        <v>8584</v>
      </c>
      <c r="J25" s="387"/>
      <c r="K25" s="387">
        <v>11314</v>
      </c>
      <c r="L25" s="387"/>
      <c r="M25" s="387">
        <v>11384</v>
      </c>
      <c r="N25" s="387"/>
    </row>
    <row r="26" spans="2:14" ht="14.25" x14ac:dyDescent="0.2">
      <c r="B26" s="392"/>
      <c r="C26" s="393"/>
      <c r="D26" s="393"/>
      <c r="E26" s="393"/>
      <c r="F26" s="131">
        <v>2</v>
      </c>
      <c r="G26" s="387">
        <v>8710</v>
      </c>
      <c r="H26" s="387"/>
      <c r="I26" s="387">
        <v>8780</v>
      </c>
      <c r="J26" s="387"/>
      <c r="K26" s="387">
        <v>11510</v>
      </c>
      <c r="L26" s="387"/>
      <c r="M26" s="387">
        <v>11580</v>
      </c>
      <c r="N26" s="387"/>
    </row>
    <row r="27" spans="2:14" ht="14.25" x14ac:dyDescent="0.2">
      <c r="B27" s="392">
        <v>6</v>
      </c>
      <c r="C27" s="393" t="s">
        <v>264</v>
      </c>
      <c r="D27" s="393"/>
      <c r="E27" s="393"/>
      <c r="F27" s="131">
        <v>1</v>
      </c>
      <c r="G27" s="387">
        <v>8794</v>
      </c>
      <c r="H27" s="387"/>
      <c r="I27" s="387">
        <v>8864</v>
      </c>
      <c r="J27" s="387"/>
      <c r="K27" s="387">
        <v>11594</v>
      </c>
      <c r="L27" s="387"/>
      <c r="M27" s="387">
        <v>11664</v>
      </c>
      <c r="N27" s="387"/>
    </row>
    <row r="28" spans="2:14" ht="14.25" x14ac:dyDescent="0.2">
      <c r="B28" s="392"/>
      <c r="C28" s="393"/>
      <c r="D28" s="393"/>
      <c r="E28" s="393"/>
      <c r="F28" s="131">
        <v>2</v>
      </c>
      <c r="G28" s="387">
        <v>8990</v>
      </c>
      <c r="H28" s="387"/>
      <c r="I28" s="387">
        <v>9060</v>
      </c>
      <c r="J28" s="387"/>
      <c r="K28" s="387">
        <v>11790</v>
      </c>
      <c r="L28" s="387"/>
      <c r="M28" s="387">
        <v>11860</v>
      </c>
      <c r="N28" s="387"/>
    </row>
    <row r="29" spans="2:14" ht="28.5" customHeight="1" x14ac:dyDescent="0.2">
      <c r="B29" s="137"/>
      <c r="C29" s="138"/>
      <c r="D29" s="138"/>
      <c r="E29" s="138"/>
      <c r="F29" s="139"/>
      <c r="G29" s="139"/>
      <c r="H29" s="139"/>
      <c r="I29" s="139"/>
      <c r="J29" s="139"/>
      <c r="K29" s="139"/>
      <c r="L29" s="139"/>
      <c r="M29" s="139"/>
      <c r="N29" s="139"/>
    </row>
    <row r="30" spans="2:14" x14ac:dyDescent="0.2">
      <c r="B30" s="2"/>
      <c r="C30" s="130" t="s">
        <v>85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2:14" x14ac:dyDescent="0.2">
      <c r="B31" s="99" t="s">
        <v>86</v>
      </c>
      <c r="C31" s="22" t="s">
        <v>87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2:14" x14ac:dyDescent="0.2">
      <c r="B32" s="99" t="s">
        <v>88</v>
      </c>
      <c r="C32" s="22" t="s">
        <v>89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2:14" x14ac:dyDescent="0.2">
      <c r="B33" s="99" t="s">
        <v>90</v>
      </c>
      <c r="C33" s="22" t="s">
        <v>265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2:14" x14ac:dyDescent="0.2">
      <c r="B34" s="99" t="s">
        <v>91</v>
      </c>
      <c r="C34" s="22" t="s">
        <v>266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2:14" x14ac:dyDescent="0.2">
      <c r="B35" s="99" t="s">
        <v>92</v>
      </c>
      <c r="C35" s="22" t="s">
        <v>267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2:14" x14ac:dyDescent="0.2">
      <c r="B36" s="99" t="s">
        <v>93</v>
      </c>
      <c r="C36" s="22" t="s">
        <v>268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2:14" x14ac:dyDescent="0.2">
      <c r="B37" s="99" t="s">
        <v>94</v>
      </c>
      <c r="C37" s="22" t="s">
        <v>269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2:14" x14ac:dyDescent="0.2">
      <c r="B38" s="99" t="s">
        <v>165</v>
      </c>
      <c r="C38" s="22" t="s">
        <v>270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2:14" x14ac:dyDescent="0.2">
      <c r="B39" s="99" t="s">
        <v>271</v>
      </c>
      <c r="C39" s="22" t="s">
        <v>272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 x14ac:dyDescent="0.2">
      <c r="B40" s="99"/>
      <c r="C40" s="2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2:14" x14ac:dyDescent="0.2">
      <c r="B41" s="390" t="s">
        <v>95</v>
      </c>
      <c r="C41" s="390"/>
      <c r="D41" s="390"/>
      <c r="E41" s="390"/>
      <c r="F41" s="390"/>
      <c r="G41" s="390"/>
      <c r="H41" s="390"/>
      <c r="I41" s="390"/>
      <c r="J41" s="390"/>
      <c r="K41" s="390"/>
      <c r="L41" s="390"/>
      <c r="M41" s="390"/>
      <c r="N41" s="390"/>
    </row>
    <row r="42" spans="2:14" x14ac:dyDescent="0.2">
      <c r="B42" s="65">
        <v>1</v>
      </c>
      <c r="C42" s="395" t="s">
        <v>96</v>
      </c>
      <c r="D42" s="395"/>
      <c r="E42" s="395"/>
      <c r="F42" s="395"/>
      <c r="G42" s="395"/>
      <c r="H42" s="395"/>
      <c r="I42" s="395"/>
      <c r="J42" s="64">
        <v>300</v>
      </c>
      <c r="K42" s="64" t="s">
        <v>273</v>
      </c>
      <c r="L42" s="64"/>
      <c r="M42" s="64"/>
      <c r="N42" s="64"/>
    </row>
    <row r="43" spans="2:14" x14ac:dyDescent="0.2">
      <c r="B43" s="65">
        <v>2</v>
      </c>
      <c r="C43" s="395" t="s">
        <v>274</v>
      </c>
      <c r="D43" s="395"/>
      <c r="E43" s="395"/>
      <c r="F43" s="395"/>
      <c r="G43" s="395"/>
      <c r="H43" s="395"/>
      <c r="I43" s="395"/>
      <c r="J43" s="64">
        <v>550</v>
      </c>
      <c r="K43" s="64" t="s">
        <v>273</v>
      </c>
      <c r="L43" s="64"/>
      <c r="M43" s="64"/>
      <c r="N43" s="64"/>
    </row>
    <row r="44" spans="2:14" x14ac:dyDescent="0.2">
      <c r="B44" s="65">
        <v>3</v>
      </c>
      <c r="C44" s="395" t="s">
        <v>97</v>
      </c>
      <c r="D44" s="395"/>
      <c r="E44" s="395"/>
      <c r="F44" s="395"/>
      <c r="G44" s="395"/>
      <c r="H44" s="395"/>
      <c r="I44" s="395"/>
      <c r="J44" s="64">
        <v>45</v>
      </c>
      <c r="K44" s="64" t="s">
        <v>273</v>
      </c>
      <c r="L44" s="64"/>
      <c r="M44" s="64"/>
      <c r="N44" s="64"/>
    </row>
    <row r="45" spans="2:14" x14ac:dyDescent="0.2">
      <c r="B45" s="65">
        <v>4</v>
      </c>
      <c r="C45" s="394" t="s">
        <v>275</v>
      </c>
      <c r="D45" s="394"/>
      <c r="E45" s="394"/>
      <c r="F45" s="394"/>
      <c r="G45" s="394"/>
      <c r="H45" s="394"/>
      <c r="I45" s="394"/>
      <c r="J45" s="66">
        <v>315</v>
      </c>
      <c r="K45" s="66" t="s">
        <v>276</v>
      </c>
      <c r="L45" s="66"/>
      <c r="M45" s="66"/>
      <c r="N45" s="66"/>
    </row>
    <row r="46" spans="2:14" x14ac:dyDescent="0.2">
      <c r="B46" s="65">
        <v>5</v>
      </c>
      <c r="C46" s="394" t="s">
        <v>277</v>
      </c>
      <c r="D46" s="394"/>
      <c r="E46" s="394"/>
      <c r="F46" s="394"/>
      <c r="G46" s="394"/>
      <c r="H46" s="394"/>
      <c r="I46" s="394"/>
      <c r="J46" s="66">
        <v>500</v>
      </c>
      <c r="K46" s="66" t="s">
        <v>273</v>
      </c>
      <c r="L46" s="66"/>
      <c r="M46" s="66"/>
      <c r="N46" s="66"/>
    </row>
    <row r="47" spans="2:14" x14ac:dyDescent="0.2">
      <c r="B47" s="65">
        <v>6</v>
      </c>
      <c r="C47" s="395" t="s">
        <v>98</v>
      </c>
      <c r="D47" s="395"/>
      <c r="E47" s="395"/>
      <c r="F47" s="395"/>
      <c r="G47" s="395"/>
      <c r="H47" s="395"/>
      <c r="I47" s="395"/>
      <c r="J47" s="64">
        <v>25</v>
      </c>
      <c r="K47" s="64" t="s">
        <v>273</v>
      </c>
      <c r="L47" s="64"/>
      <c r="M47" s="64"/>
      <c r="N47" s="64"/>
    </row>
    <row r="48" spans="2:14" x14ac:dyDescent="0.2">
      <c r="B48" s="65">
        <v>7</v>
      </c>
      <c r="C48" s="395" t="s">
        <v>278</v>
      </c>
      <c r="D48" s="395"/>
      <c r="E48" s="395"/>
      <c r="F48" s="395"/>
      <c r="G48" s="395"/>
      <c r="H48" s="395"/>
      <c r="I48" s="395"/>
      <c r="J48" s="64">
        <v>300</v>
      </c>
      <c r="K48" s="64" t="s">
        <v>273</v>
      </c>
      <c r="L48" s="64"/>
      <c r="M48" s="64"/>
      <c r="N48" s="64"/>
    </row>
    <row r="49" spans="2:14" ht="38.25" x14ac:dyDescent="0.2">
      <c r="B49" s="65">
        <v>8</v>
      </c>
      <c r="C49" s="394" t="s">
        <v>99</v>
      </c>
      <c r="D49" s="394"/>
      <c r="E49" s="394"/>
      <c r="F49" s="394"/>
      <c r="G49" s="394"/>
      <c r="H49" s="394"/>
      <c r="I49" s="394"/>
      <c r="J49" s="66" t="s">
        <v>279</v>
      </c>
      <c r="K49" s="66" t="s">
        <v>280</v>
      </c>
      <c r="L49" s="66" t="s">
        <v>281</v>
      </c>
      <c r="M49" s="66"/>
      <c r="N49" s="66"/>
    </row>
    <row r="50" spans="2:14" x14ac:dyDescent="0.2">
      <c r="B50" s="65">
        <v>9</v>
      </c>
      <c r="C50" s="395" t="s">
        <v>282</v>
      </c>
      <c r="D50" s="395"/>
      <c r="E50" s="395"/>
      <c r="F50" s="395"/>
      <c r="G50" s="395"/>
      <c r="H50" s="395"/>
      <c r="I50" s="395"/>
      <c r="J50" s="64">
        <v>315</v>
      </c>
      <c r="K50" s="64" t="s">
        <v>101</v>
      </c>
      <c r="L50" s="64"/>
      <c r="M50" s="64"/>
      <c r="N50" s="64"/>
    </row>
    <row r="51" spans="2:14" ht="25.5" x14ac:dyDescent="0.2">
      <c r="B51" s="65">
        <v>10</v>
      </c>
      <c r="C51" s="395" t="s">
        <v>283</v>
      </c>
      <c r="D51" s="395"/>
      <c r="E51" s="395"/>
      <c r="F51" s="395"/>
      <c r="G51" s="395"/>
      <c r="H51" s="395"/>
      <c r="I51" s="395"/>
      <c r="J51" s="140">
        <v>0.25</v>
      </c>
      <c r="K51" s="64" t="s">
        <v>284</v>
      </c>
      <c r="L51" s="64"/>
      <c r="M51" s="64"/>
      <c r="N51" s="64"/>
    </row>
    <row r="52" spans="2:14" ht="25.5" x14ac:dyDescent="0.2">
      <c r="B52" s="65" t="s">
        <v>285</v>
      </c>
      <c r="C52" s="394" t="s">
        <v>286</v>
      </c>
      <c r="D52" s="394"/>
      <c r="E52" s="394"/>
      <c r="F52" s="394"/>
      <c r="G52" s="394"/>
      <c r="H52" s="394"/>
      <c r="I52" s="394"/>
      <c r="J52" s="66">
        <v>110</v>
      </c>
      <c r="K52" s="66" t="s">
        <v>287</v>
      </c>
      <c r="L52" s="66" t="s">
        <v>288</v>
      </c>
      <c r="M52" s="66">
        <v>190</v>
      </c>
      <c r="N52" s="66" t="s">
        <v>103</v>
      </c>
    </row>
    <row r="53" spans="2:14" x14ac:dyDescent="0.2">
      <c r="B53" s="65">
        <v>12</v>
      </c>
      <c r="C53" s="394" t="s">
        <v>289</v>
      </c>
      <c r="D53" s="394"/>
      <c r="E53" s="394"/>
      <c r="F53" s="394"/>
      <c r="G53" s="394"/>
      <c r="H53" s="394"/>
      <c r="I53" s="394"/>
      <c r="J53" s="66">
        <v>315</v>
      </c>
      <c r="K53" s="66" t="s">
        <v>103</v>
      </c>
      <c r="L53" s="66"/>
      <c r="M53" s="66"/>
      <c r="N53" s="66"/>
    </row>
    <row r="54" spans="2:14" x14ac:dyDescent="0.2">
      <c r="B54" s="65">
        <v>13</v>
      </c>
      <c r="C54" s="394" t="s">
        <v>290</v>
      </c>
      <c r="D54" s="394"/>
      <c r="E54" s="394"/>
      <c r="F54" s="394"/>
      <c r="G54" s="394"/>
      <c r="H54" s="394"/>
      <c r="I54" s="394"/>
      <c r="J54" s="66">
        <v>270</v>
      </c>
      <c r="K54" s="66" t="s">
        <v>103</v>
      </c>
      <c r="L54" s="66"/>
      <c r="M54" s="66"/>
      <c r="N54" s="66"/>
    </row>
    <row r="55" spans="2:14" x14ac:dyDescent="0.2">
      <c r="B55" s="65">
        <v>14</v>
      </c>
      <c r="C55" s="394" t="s">
        <v>291</v>
      </c>
      <c r="D55" s="394"/>
      <c r="E55" s="394"/>
      <c r="F55" s="394"/>
      <c r="G55" s="394"/>
      <c r="H55" s="394"/>
      <c r="I55" s="394"/>
      <c r="J55" s="66">
        <v>550</v>
      </c>
      <c r="K55" s="66" t="s">
        <v>103</v>
      </c>
      <c r="L55" s="66"/>
      <c r="M55" s="66"/>
      <c r="N55" s="66"/>
    </row>
    <row r="56" spans="2:14" ht="25.5" x14ac:dyDescent="0.2">
      <c r="B56" s="65">
        <v>15</v>
      </c>
      <c r="C56" s="396" t="s">
        <v>100</v>
      </c>
      <c r="D56" s="396"/>
      <c r="E56" s="396"/>
      <c r="F56" s="396"/>
      <c r="G56" s="396"/>
      <c r="H56" s="396"/>
      <c r="I56" s="396"/>
      <c r="J56" s="100">
        <v>0.5</v>
      </c>
      <c r="K56" s="67" t="s">
        <v>102</v>
      </c>
      <c r="L56" s="67"/>
      <c r="M56" s="67"/>
      <c r="N56" s="67"/>
    </row>
    <row r="57" spans="2:14" s="144" customFormat="1" x14ac:dyDescent="0.2">
      <c r="B57" s="141"/>
      <c r="C57" s="142"/>
      <c r="D57" s="142"/>
      <c r="E57" s="142"/>
      <c r="F57" s="142"/>
      <c r="G57" s="142"/>
      <c r="H57" s="142"/>
      <c r="I57" s="142"/>
      <c r="J57" s="143"/>
      <c r="K57" s="143"/>
      <c r="L57" s="143"/>
      <c r="M57" s="143"/>
      <c r="N57" s="143"/>
    </row>
    <row r="58" spans="2:14" x14ac:dyDescent="0.2">
      <c r="B58" s="48"/>
      <c r="C58" s="145" t="s">
        <v>292</v>
      </c>
      <c r="D58" s="48"/>
      <c r="E58" s="48"/>
      <c r="F58" s="48"/>
      <c r="G58" s="2"/>
      <c r="H58" s="48"/>
      <c r="I58" s="48"/>
      <c r="J58" s="48"/>
      <c r="K58" s="48"/>
      <c r="L58" s="48"/>
      <c r="M58" s="48"/>
      <c r="N58" s="48"/>
    </row>
    <row r="59" spans="2:14" x14ac:dyDescent="0.2">
      <c r="B59" s="48"/>
      <c r="C59" s="145" t="s">
        <v>293</v>
      </c>
      <c r="D59" s="48"/>
      <c r="E59" s="48"/>
      <c r="F59" s="48"/>
      <c r="G59" s="2"/>
      <c r="H59" s="48"/>
      <c r="I59" s="48"/>
      <c r="J59" s="48"/>
      <c r="K59" s="48"/>
      <c r="L59" s="48"/>
      <c r="M59" s="48"/>
      <c r="N59" s="48"/>
    </row>
    <row r="60" spans="2:14" x14ac:dyDescent="0.2">
      <c r="B60" s="48"/>
      <c r="C60" s="145"/>
      <c r="D60" s="48"/>
      <c r="E60" s="48"/>
      <c r="F60" s="48"/>
      <c r="G60" s="2"/>
      <c r="H60" s="48"/>
      <c r="I60" s="48"/>
      <c r="J60" s="48"/>
      <c r="K60" s="48"/>
      <c r="L60" s="48"/>
      <c r="M60" s="48"/>
      <c r="N60" s="48"/>
    </row>
    <row r="61" spans="2:14" x14ac:dyDescent="0.2">
      <c r="B61" s="66" t="s">
        <v>3</v>
      </c>
      <c r="C61" s="103" t="s">
        <v>192</v>
      </c>
      <c r="D61" s="103" t="s">
        <v>193</v>
      </c>
      <c r="E61" s="68" t="s">
        <v>194</v>
      </c>
      <c r="F61" s="2"/>
      <c r="G61" s="2"/>
      <c r="H61" s="137"/>
      <c r="I61" s="48"/>
      <c r="J61" s="48"/>
      <c r="K61" s="48"/>
      <c r="L61" s="397"/>
      <c r="M61" s="397"/>
      <c r="N61" s="48"/>
    </row>
    <row r="62" spans="2:14" x14ac:dyDescent="0.2">
      <c r="B62" s="68">
        <v>1</v>
      </c>
      <c r="C62" s="64" t="s">
        <v>195</v>
      </c>
      <c r="D62" s="64" t="s">
        <v>196</v>
      </c>
      <c r="E62" s="104">
        <v>1</v>
      </c>
      <c r="F62" s="2"/>
      <c r="G62" s="2"/>
      <c r="H62" s="99"/>
      <c r="I62" s="2"/>
      <c r="J62" s="2"/>
      <c r="K62" s="2"/>
      <c r="M62" s="2"/>
    </row>
    <row r="63" spans="2:14" x14ac:dyDescent="0.2">
      <c r="B63" s="68">
        <v>2</v>
      </c>
      <c r="C63" s="64" t="s">
        <v>197</v>
      </c>
      <c r="D63" s="64" t="s">
        <v>198</v>
      </c>
      <c r="E63" s="104">
        <v>1</v>
      </c>
      <c r="F63" s="2"/>
      <c r="G63" s="2"/>
      <c r="H63" s="99"/>
      <c r="I63" s="2"/>
      <c r="J63" s="2"/>
      <c r="K63" s="2"/>
      <c r="M63" s="2"/>
    </row>
    <row r="64" spans="2:14" x14ac:dyDescent="0.2">
      <c r="B64" s="68">
        <v>3</v>
      </c>
      <c r="C64" s="64" t="s">
        <v>199</v>
      </c>
      <c r="D64" s="64" t="s">
        <v>200</v>
      </c>
      <c r="E64" s="104">
        <v>1</v>
      </c>
      <c r="F64" s="2"/>
      <c r="G64" s="2"/>
      <c r="H64" s="99"/>
      <c r="I64" s="2"/>
      <c r="J64" s="2"/>
      <c r="K64" s="2"/>
      <c r="M64" s="2"/>
    </row>
    <row r="65" spans="2:13" ht="16.5" customHeight="1" x14ac:dyDescent="0.2">
      <c r="B65" s="68">
        <v>4</v>
      </c>
      <c r="C65" s="105" t="s">
        <v>201</v>
      </c>
      <c r="D65" s="105" t="s">
        <v>202</v>
      </c>
      <c r="E65" s="106">
        <v>2</v>
      </c>
      <c r="F65" s="2"/>
      <c r="G65" s="2"/>
      <c r="H65" s="99"/>
      <c r="I65" s="2"/>
      <c r="J65" s="2"/>
      <c r="K65" s="2"/>
      <c r="M65" s="2"/>
    </row>
    <row r="66" spans="2:13" x14ac:dyDescent="0.2">
      <c r="B66" s="68">
        <v>5</v>
      </c>
      <c r="C66" s="64" t="s">
        <v>203</v>
      </c>
      <c r="D66" s="64" t="s">
        <v>204</v>
      </c>
      <c r="E66" s="104">
        <v>1</v>
      </c>
      <c r="F66" s="2"/>
      <c r="G66" s="2"/>
      <c r="H66" s="99"/>
      <c r="I66" s="2"/>
      <c r="J66" s="2"/>
      <c r="K66" s="2"/>
      <c r="M66" s="2"/>
    </row>
    <row r="67" spans="2:13" x14ac:dyDescent="0.2">
      <c r="B67" s="68">
        <v>6</v>
      </c>
      <c r="C67" s="64" t="s">
        <v>205</v>
      </c>
      <c r="D67" s="64" t="s">
        <v>206</v>
      </c>
      <c r="E67" s="104">
        <v>2</v>
      </c>
      <c r="F67" s="2"/>
      <c r="G67" s="2"/>
      <c r="H67" s="99"/>
      <c r="I67" s="2"/>
      <c r="J67" s="2"/>
      <c r="K67" s="2"/>
      <c r="M67" s="2"/>
    </row>
    <row r="68" spans="2:13" x14ac:dyDescent="0.2">
      <c r="B68" s="68">
        <v>7</v>
      </c>
      <c r="C68" s="64" t="s">
        <v>207</v>
      </c>
      <c r="D68" s="64" t="s">
        <v>208</v>
      </c>
      <c r="E68" s="104">
        <v>1</v>
      </c>
      <c r="F68" s="2"/>
      <c r="G68" s="2"/>
      <c r="H68" s="99"/>
      <c r="I68" s="2"/>
      <c r="J68" s="2"/>
      <c r="K68" s="2"/>
      <c r="M68" s="2"/>
    </row>
    <row r="69" spans="2:13" x14ac:dyDescent="0.2">
      <c r="B69" s="68">
        <v>8</v>
      </c>
      <c r="C69" s="64" t="s">
        <v>209</v>
      </c>
      <c r="D69" s="64" t="s">
        <v>210</v>
      </c>
      <c r="E69" s="104">
        <v>1</v>
      </c>
      <c r="F69" s="2"/>
      <c r="G69" s="2"/>
      <c r="H69" s="99"/>
      <c r="I69" s="2"/>
      <c r="J69" s="2"/>
      <c r="K69" s="2"/>
      <c r="M69" s="2"/>
    </row>
    <row r="70" spans="2:13" x14ac:dyDescent="0.2">
      <c r="B70" s="68">
        <v>9</v>
      </c>
      <c r="C70" s="64" t="s">
        <v>211</v>
      </c>
      <c r="D70" s="64" t="s">
        <v>212</v>
      </c>
      <c r="E70" s="104">
        <v>1</v>
      </c>
      <c r="F70" s="2"/>
      <c r="G70" s="2"/>
      <c r="H70" s="99"/>
      <c r="I70" s="2"/>
      <c r="J70" s="2"/>
      <c r="K70" s="2"/>
      <c r="M70" s="2"/>
    </row>
    <row r="71" spans="2:13" x14ac:dyDescent="0.2">
      <c r="B71" s="68">
        <v>10</v>
      </c>
      <c r="C71" s="64" t="s">
        <v>213</v>
      </c>
      <c r="D71" s="64" t="s">
        <v>214</v>
      </c>
      <c r="E71" s="104">
        <v>2</v>
      </c>
      <c r="F71" s="2"/>
      <c r="G71" s="2"/>
      <c r="H71" s="99"/>
      <c r="I71" s="2"/>
      <c r="J71" s="2"/>
      <c r="K71" s="2"/>
      <c r="M71" s="2"/>
    </row>
    <row r="72" spans="2:13" x14ac:dyDescent="0.2">
      <c r="B72" s="68">
        <v>11</v>
      </c>
      <c r="C72" s="64" t="s">
        <v>215</v>
      </c>
      <c r="D72" s="64" t="s">
        <v>216</v>
      </c>
      <c r="E72" s="104">
        <v>1</v>
      </c>
      <c r="F72" s="2"/>
      <c r="G72" s="2"/>
      <c r="H72" s="99"/>
      <c r="I72" s="2"/>
      <c r="J72" s="2"/>
      <c r="K72" s="2"/>
      <c r="M72" s="2"/>
    </row>
    <row r="73" spans="2:13" x14ac:dyDescent="0.2">
      <c r="B73" s="68">
        <v>12</v>
      </c>
      <c r="C73" s="64" t="s">
        <v>217</v>
      </c>
      <c r="D73" s="64" t="s">
        <v>218</v>
      </c>
      <c r="E73" s="104">
        <v>2</v>
      </c>
      <c r="F73" s="2"/>
      <c r="G73" s="2"/>
      <c r="H73" s="99"/>
      <c r="I73" s="2"/>
      <c r="J73" s="2"/>
      <c r="K73" s="2"/>
      <c r="M73" s="2"/>
    </row>
    <row r="74" spans="2:13" x14ac:dyDescent="0.2">
      <c r="B74" s="68">
        <v>13</v>
      </c>
      <c r="C74" s="64" t="s">
        <v>219</v>
      </c>
      <c r="D74" s="64" t="s">
        <v>220</v>
      </c>
      <c r="E74" s="104">
        <v>2</v>
      </c>
      <c r="F74" s="2"/>
      <c r="G74" s="2"/>
      <c r="H74" s="99"/>
      <c r="I74" s="2"/>
      <c r="J74" s="2"/>
      <c r="K74" s="2"/>
      <c r="M74" s="2"/>
    </row>
    <row r="75" spans="2:13" x14ac:dyDescent="0.2">
      <c r="B75" s="68">
        <v>14</v>
      </c>
      <c r="C75" s="64" t="s">
        <v>221</v>
      </c>
      <c r="D75" s="64" t="s">
        <v>222</v>
      </c>
      <c r="E75" s="104">
        <v>2</v>
      </c>
      <c r="F75" s="2"/>
      <c r="G75" s="2"/>
      <c r="H75" s="99"/>
      <c r="I75" s="2"/>
      <c r="J75" s="2"/>
      <c r="K75" s="2"/>
      <c r="M75" s="2"/>
    </row>
    <row r="76" spans="2:13" ht="14.25" customHeight="1" x14ac:dyDescent="0.2">
      <c r="B76" s="68">
        <v>15</v>
      </c>
      <c r="C76" s="64" t="s">
        <v>223</v>
      </c>
      <c r="D76" s="64" t="s">
        <v>224</v>
      </c>
      <c r="E76" s="104">
        <v>2</v>
      </c>
    </row>
    <row r="77" spans="2:13" x14ac:dyDescent="0.2">
      <c r="B77" s="68">
        <v>16</v>
      </c>
      <c r="C77" s="64" t="s">
        <v>225</v>
      </c>
      <c r="D77" s="64" t="s">
        <v>226</v>
      </c>
      <c r="E77" s="104">
        <v>2</v>
      </c>
    </row>
    <row r="78" spans="2:13" x14ac:dyDescent="0.2">
      <c r="B78" s="68">
        <v>17</v>
      </c>
      <c r="C78" s="64" t="s">
        <v>227</v>
      </c>
      <c r="D78" s="64" t="s">
        <v>228</v>
      </c>
      <c r="E78" s="104">
        <v>2</v>
      </c>
    </row>
    <row r="79" spans="2:13" ht="25.5" x14ac:dyDescent="0.2">
      <c r="B79" s="68">
        <v>18</v>
      </c>
      <c r="C79" s="64" t="s">
        <v>229</v>
      </c>
      <c r="D79" s="64" t="s">
        <v>230</v>
      </c>
      <c r="E79" s="104">
        <v>2</v>
      </c>
    </row>
    <row r="80" spans="2:13" x14ac:dyDescent="0.2">
      <c r="B80" s="68">
        <v>19</v>
      </c>
      <c r="C80" s="64" t="s">
        <v>231</v>
      </c>
      <c r="D80" s="64" t="s">
        <v>232</v>
      </c>
      <c r="E80" s="104">
        <v>2</v>
      </c>
    </row>
    <row r="81" spans="2:5" x14ac:dyDescent="0.2">
      <c r="B81" s="68">
        <v>20</v>
      </c>
      <c r="C81" s="64" t="s">
        <v>233</v>
      </c>
      <c r="D81" s="64" t="s">
        <v>234</v>
      </c>
      <c r="E81" s="104">
        <v>1</v>
      </c>
    </row>
    <row r="82" spans="2:5" ht="15" customHeight="1" x14ac:dyDescent="0.2">
      <c r="B82" s="68">
        <v>21</v>
      </c>
      <c r="C82" s="64" t="s">
        <v>235</v>
      </c>
      <c r="D82" s="64" t="s">
        <v>236</v>
      </c>
      <c r="E82" s="104" t="s">
        <v>237</v>
      </c>
    </row>
    <row r="83" spans="2:5" x14ac:dyDescent="0.2">
      <c r="B83" s="68">
        <v>22</v>
      </c>
      <c r="C83" s="64" t="s">
        <v>238</v>
      </c>
      <c r="D83" s="64" t="s">
        <v>239</v>
      </c>
      <c r="E83" s="104">
        <v>2</v>
      </c>
    </row>
    <row r="84" spans="2:5" x14ac:dyDescent="0.2">
      <c r="B84" s="68">
        <v>23</v>
      </c>
      <c r="C84" s="64" t="s">
        <v>240</v>
      </c>
      <c r="D84" s="64" t="s">
        <v>241</v>
      </c>
      <c r="E84" s="104">
        <v>2</v>
      </c>
    </row>
    <row r="85" spans="2:5" x14ac:dyDescent="0.2">
      <c r="B85" s="68">
        <v>24</v>
      </c>
      <c r="C85" s="64" t="s">
        <v>242</v>
      </c>
      <c r="D85" s="64" t="s">
        <v>243</v>
      </c>
      <c r="E85" s="104">
        <v>2</v>
      </c>
    </row>
    <row r="86" spans="2:5" x14ac:dyDescent="0.2">
      <c r="B86" s="68">
        <v>25</v>
      </c>
      <c r="C86" s="64" t="s">
        <v>244</v>
      </c>
      <c r="D86" s="64" t="s">
        <v>245</v>
      </c>
      <c r="E86" s="104">
        <v>2</v>
      </c>
    </row>
    <row r="87" spans="2:5" x14ac:dyDescent="0.2">
      <c r="B87" s="68">
        <v>26</v>
      </c>
      <c r="C87" s="64" t="s">
        <v>246</v>
      </c>
      <c r="D87" s="64" t="s">
        <v>247</v>
      </c>
      <c r="E87" s="104">
        <v>1</v>
      </c>
    </row>
    <row r="88" spans="2:5" x14ac:dyDescent="0.2">
      <c r="B88" s="68">
        <v>27</v>
      </c>
      <c r="C88" s="64" t="s">
        <v>248</v>
      </c>
      <c r="D88" s="64" t="s">
        <v>249</v>
      </c>
      <c r="E88" s="104">
        <v>2</v>
      </c>
    </row>
    <row r="89" spans="2:5" ht="25.5" x14ac:dyDescent="0.2">
      <c r="B89" s="68">
        <v>28</v>
      </c>
      <c r="C89" s="64" t="s">
        <v>250</v>
      </c>
      <c r="D89" s="64" t="s">
        <v>251</v>
      </c>
      <c r="E89" s="104">
        <v>2</v>
      </c>
    </row>
    <row r="90" spans="2:5" x14ac:dyDescent="0.2">
      <c r="B90" s="68">
        <v>29</v>
      </c>
      <c r="C90" s="64" t="s">
        <v>294</v>
      </c>
      <c r="D90" s="64"/>
      <c r="E90" s="104">
        <v>2</v>
      </c>
    </row>
    <row r="91" spans="2:5" x14ac:dyDescent="0.2">
      <c r="B91" s="68">
        <v>30</v>
      </c>
      <c r="C91" s="64"/>
      <c r="D91" s="64"/>
      <c r="E91" s="104"/>
    </row>
    <row r="92" spans="2:5" x14ac:dyDescent="0.2">
      <c r="B92" s="68">
        <v>31</v>
      </c>
      <c r="C92" s="64"/>
      <c r="D92" s="64"/>
      <c r="E92" s="104"/>
    </row>
    <row r="93" spans="2:5" x14ac:dyDescent="0.2">
      <c r="B93" s="68">
        <v>32</v>
      </c>
      <c r="C93" s="64"/>
      <c r="D93" s="64"/>
      <c r="E93" s="104"/>
    </row>
    <row r="94" spans="2:5" x14ac:dyDescent="0.2">
      <c r="B94" s="68">
        <v>33</v>
      </c>
      <c r="C94" s="64"/>
      <c r="D94" s="64"/>
      <c r="E94" s="104"/>
    </row>
    <row r="95" spans="2:5" x14ac:dyDescent="0.2">
      <c r="B95" s="68">
        <v>34</v>
      </c>
      <c r="C95" s="64"/>
      <c r="D95" s="64"/>
      <c r="E95" s="104"/>
    </row>
    <row r="96" spans="2:5" x14ac:dyDescent="0.2">
      <c r="B96" s="68">
        <v>35</v>
      </c>
      <c r="C96" s="64"/>
      <c r="D96" s="64"/>
      <c r="E96" s="104"/>
    </row>
  </sheetData>
  <sheetProtection algorithmName="SHA-512" hashValue="itUTUXM1cyLMykQmTqPWhzS8ucm8biZTP9Vl0VYJY4Mwb4HHNP4yLf3luoI/hwg5piqRb6OcrbjMbhFQCotREQ==" saltValue="ABrbAN/Pfkfx5idd6WVO2Q==" spinCount="100000" sheet="1" objects="1" scenarios="1"/>
  <mergeCells count="87">
    <mergeCell ref="C53:I53"/>
    <mergeCell ref="C54:I54"/>
    <mergeCell ref="C55:I55"/>
    <mergeCell ref="C56:I56"/>
    <mergeCell ref="L61:M61"/>
    <mergeCell ref="C52:I52"/>
    <mergeCell ref="B41:N41"/>
    <mergeCell ref="C42:I42"/>
    <mergeCell ref="C43:I43"/>
    <mergeCell ref="C44:I44"/>
    <mergeCell ref="C45:I45"/>
    <mergeCell ref="C46:I46"/>
    <mergeCell ref="C47:I47"/>
    <mergeCell ref="C48:I48"/>
    <mergeCell ref="C49:I49"/>
    <mergeCell ref="C50:I50"/>
    <mergeCell ref="C51:I51"/>
    <mergeCell ref="B27:B28"/>
    <mergeCell ref="C27:E28"/>
    <mergeCell ref="G27:H27"/>
    <mergeCell ref="I27:J27"/>
    <mergeCell ref="K27:L27"/>
    <mergeCell ref="M27:N27"/>
    <mergeCell ref="G28:H28"/>
    <mergeCell ref="I28:J28"/>
    <mergeCell ref="K28:L28"/>
    <mergeCell ref="M28:N28"/>
    <mergeCell ref="B25:B26"/>
    <mergeCell ref="C25:E26"/>
    <mergeCell ref="G25:H25"/>
    <mergeCell ref="I25:J25"/>
    <mergeCell ref="K25:L25"/>
    <mergeCell ref="M25:N25"/>
    <mergeCell ref="G26:H26"/>
    <mergeCell ref="I26:J26"/>
    <mergeCell ref="K26:L26"/>
    <mergeCell ref="M26:N26"/>
    <mergeCell ref="B23:B24"/>
    <mergeCell ref="C23:E24"/>
    <mergeCell ref="G23:H23"/>
    <mergeCell ref="I23:J23"/>
    <mergeCell ref="K23:L23"/>
    <mergeCell ref="M23:N23"/>
    <mergeCell ref="G24:H24"/>
    <mergeCell ref="I24:J24"/>
    <mergeCell ref="K24:L24"/>
    <mergeCell ref="M24:N24"/>
    <mergeCell ref="B21:B22"/>
    <mergeCell ref="C21:E22"/>
    <mergeCell ref="G21:H21"/>
    <mergeCell ref="I21:J21"/>
    <mergeCell ref="K21:L21"/>
    <mergeCell ref="M21:N21"/>
    <mergeCell ref="G22:H22"/>
    <mergeCell ref="I22:J22"/>
    <mergeCell ref="K22:L22"/>
    <mergeCell ref="M22:N22"/>
    <mergeCell ref="B19:B20"/>
    <mergeCell ref="C19:E20"/>
    <mergeCell ref="G19:H19"/>
    <mergeCell ref="I19:J19"/>
    <mergeCell ref="K19:L19"/>
    <mergeCell ref="M19:N19"/>
    <mergeCell ref="G20:H20"/>
    <mergeCell ref="I20:J20"/>
    <mergeCell ref="K20:L20"/>
    <mergeCell ref="M20:N20"/>
    <mergeCell ref="B17:B18"/>
    <mergeCell ref="C17:E18"/>
    <mergeCell ref="G17:H17"/>
    <mergeCell ref="I17:J17"/>
    <mergeCell ref="K17:L17"/>
    <mergeCell ref="M17:N17"/>
    <mergeCell ref="G18:H18"/>
    <mergeCell ref="I18:J18"/>
    <mergeCell ref="K18:L18"/>
    <mergeCell ref="M18:N18"/>
    <mergeCell ref="M10:N10"/>
    <mergeCell ref="M11:N11"/>
    <mergeCell ref="B12:N12"/>
    <mergeCell ref="B13:N13"/>
    <mergeCell ref="M14:N14"/>
    <mergeCell ref="C16:E16"/>
    <mergeCell ref="G16:H16"/>
    <mergeCell ref="I16:J16"/>
    <mergeCell ref="K16:L16"/>
    <mergeCell ref="M16:N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Бланк</vt:lpstr>
      <vt:lpstr>Просчёт</vt:lpstr>
      <vt:lpstr>Лист1</vt:lpstr>
      <vt:lpstr>Рахунок</vt:lpstr>
      <vt:lpstr>Материал МДФ</vt:lpstr>
      <vt:lpstr>Заявка на краску</vt:lpstr>
      <vt:lpstr>Прайс</vt:lpstr>
      <vt:lpstr>Бланк!Область_печати</vt:lpstr>
      <vt:lpstr>Объем</vt:lpstr>
      <vt:lpstr>Цвет</vt:lpstr>
    </vt:vector>
  </TitlesOfParts>
  <Manager>Шацилло Кирилл Олегович</Manager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Бланк заказа с автоматическим просчетом стоимости</dc:title>
  <dc:creator>Home</dc:creator>
  <cp:lastModifiedBy>I5-PC</cp:lastModifiedBy>
  <cp:lastPrinted>2024-04-15T13:42:15Z</cp:lastPrinted>
  <dcterms:created xsi:type="dcterms:W3CDTF">2015-03-06T18:50:38Z</dcterms:created>
  <dcterms:modified xsi:type="dcterms:W3CDTF">2025-02-05T09:52:42Z</dcterms:modified>
</cp:coreProperties>
</file>